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ummary" sheetId="2" state="visible" r:id="rId2"/>
    <sheet xmlns:r="http://schemas.openxmlformats.org/officeDocument/2006/relationships" name="Contract" sheetId="3" state="visible" r:id="rId3"/>
    <sheet xmlns:r="http://schemas.openxmlformats.org/officeDocument/2006/relationships" name="Change Log" sheetId="4" state="visible" r:id="rId4"/>
    <sheet xmlns:r="http://schemas.openxmlformats.org/officeDocument/2006/relationships" name="Change Order" sheetId="5" state="visible" r:id="rId5"/>
    <sheet xmlns:r="http://schemas.openxmlformats.org/officeDocument/2006/relationships" name="Checklist" sheetId="6" state="visible" r:id="rId6"/>
  </sheets>
  <definedNames>
    <definedName name="_xlnm._FilterDatabase" localSheetId="3" hidden="1">'Change Log'!$A$5:$AG$105</definedName>
    <definedName name="_xlnm.Print_Area" localSheetId="4">'Change Order'!$A$6:$F$53</definedName>
  </definedNames>
  <calcPr calcId="124519" fullCalcOnLoad="1"/>
</workbook>
</file>

<file path=xl/styles.xml><?xml version="1.0" encoding="utf-8"?>
<styleSheet xmlns="http://schemas.openxmlformats.org/spreadsheetml/2006/main">
  <numFmts count="5">
    <numFmt numFmtId="164" formatCode="mmm d, yyyy"/>
    <numFmt numFmtId="165" formatCode="$#,##0;-$#,##0;&quot;–&quot;"/>
    <numFmt numFmtId="166" formatCode="0.0%"/>
    <numFmt numFmtId="167" formatCode="0;-0;0"/>
    <numFmt numFmtId="168" formatCode="$#,##0.00;-$#,##0.00;&quot;–&quot;"/>
  </numFmts>
  <fonts count="21">
    <font>
      <name val="Calibri"/>
      <family val="2"/>
      <color theme="1"/>
      <sz val="11"/>
      <scheme val="minor"/>
    </font>
    <font>
      <name val="Arial"/>
      <b val="1"/>
      <color rgb="000E1822"/>
      <sz val="20"/>
    </font>
    <font>
      <name val="Arial"/>
      <b val="1"/>
      <color rgb="000E1822"/>
      <sz val="12"/>
    </font>
    <font>
      <name val="Arial"/>
      <color rgb="00222222"/>
      <sz val="10"/>
    </font>
    <font>
      <name val="Arial"/>
      <color rgb="000000FF"/>
      <sz val="10"/>
    </font>
    <font>
      <name val="Arial"/>
      <color rgb="00000000"/>
      <sz val="10"/>
    </font>
    <font>
      <name val="Arial"/>
      <i val="1"/>
      <color rgb="00555555"/>
      <sz val="10"/>
    </font>
    <font>
      <name val="Arial"/>
      <b val="1"/>
      <color rgb="000E1822"/>
      <sz val="10"/>
    </font>
    <font>
      <name val="Arial"/>
      <b val="1"/>
      <color rgb="00FFFFFF"/>
      <sz val="10"/>
    </font>
    <font>
      <name val="Arial"/>
      <b val="1"/>
      <color rgb="00000000"/>
      <sz val="10"/>
    </font>
    <font>
      <name val="Arial"/>
      <b val="1"/>
      <color rgb="000000FF"/>
      <sz val="12"/>
    </font>
    <font>
      <name val="Arial"/>
      <b val="1"/>
      <color rgb="00C00000"/>
      <sz val="10"/>
    </font>
    <font>
      <name val="Arial"/>
      <b val="1"/>
      <color rgb="000E1822"/>
      <sz val="14"/>
    </font>
    <font>
      <name val="Arial"/>
      <b val="1"/>
      <color rgb="00FF6A13"/>
      <sz val="16"/>
    </font>
    <font>
      <name val="Arial"/>
      <b val="1"/>
      <color rgb="000E1822"/>
      <sz val="16"/>
    </font>
    <font>
      <name val="Arial"/>
      <color rgb="00555555"/>
      <sz val="10"/>
    </font>
    <font>
      <name val="Arial"/>
      <b val="1"/>
      <color rgb="000E1822"/>
      <sz val="11"/>
    </font>
    <font>
      <name val="Arial"/>
      <i val="1"/>
      <color rgb="009C3D00"/>
      <sz val="10"/>
    </font>
    <font>
      <name val="Arial"/>
      <color rgb="00777777"/>
      <sz val="8"/>
    </font>
    <font>
      <name val="Arial"/>
      <sz val="10"/>
    </font>
    <font>
      <name val="Arial"/>
      <b val="1"/>
      <sz val="10"/>
    </font>
  </fonts>
  <fills count="6">
    <fill>
      <patternFill/>
    </fill>
    <fill>
      <patternFill patternType="gray125"/>
    </fill>
    <fill>
      <patternFill patternType="solid">
        <fgColor rgb="000E1822"/>
      </patternFill>
    </fill>
    <fill>
      <patternFill patternType="solid">
        <fgColor rgb="00FFF2CC"/>
      </patternFill>
    </fill>
    <fill>
      <patternFill patternType="solid">
        <fgColor rgb="00F3F0EC"/>
      </patternFill>
    </fill>
    <fill>
      <patternFill patternType="solid">
        <fgColor rgb="00FF6A13"/>
      </patternFill>
    </fill>
  </fills>
  <borders count="5">
    <border>
      <left/>
      <right/>
      <top/>
      <bottom/>
      <diagonal/>
    </border>
    <border>
      <bottom style="medium">
        <color rgb="00FF6A13"/>
      </bottom>
    </border>
    <border>
      <bottom style="thin">
        <color rgb="00D9D4CC"/>
      </bottom>
    </border>
    <border>
      <top style="thin">
        <color rgb="000E1822"/>
      </top>
      <bottom style="double">
        <color rgb="000E1822"/>
      </bottom>
    </border>
    <border>
      <bottom style="thin">
        <color rgb="00000000"/>
      </bottom>
    </border>
  </borders>
  <cellStyleXfs count="1">
    <xf numFmtId="0" fontId="0" fillId="0" borderId="0"/>
  </cellStyleXfs>
  <cellXfs count="68">
    <xf numFmtId="0" fontId="0" fillId="0" borderId="0" pivotButton="0" quotePrefix="0" xfId="0"/>
    <xf numFmtId="0" fontId="0" fillId="2" borderId="0" applyAlignment="1" pivotButton="0" quotePrefix="0" xfId="0">
      <alignment vertical="center" indent="1"/>
    </xf>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3" fillId="3" borderId="0" applyAlignment="1" pivotButton="0" quotePrefix="0" xfId="0">
      <alignment vertical="top" wrapText="1"/>
    </xf>
    <xf numFmtId="0" fontId="2" fillId="0" borderId="1" pivotButton="0" quotePrefix="0" xfId="0"/>
    <xf numFmtId="0" fontId="0" fillId="0" borderId="1" pivotButton="0" quotePrefix="0" xfId="0"/>
    <xf numFmtId="0" fontId="19" fillId="0" borderId="0" applyAlignment="1" pivotButton="0" quotePrefix="0" xfId="0">
      <alignment vertical="center" wrapText="1"/>
    </xf>
    <xf numFmtId="165" fontId="19" fillId="0" borderId="0" applyAlignment="1" pivotButton="0" quotePrefix="0" xfId="0">
      <alignment horizontal="right" vertical="center"/>
    </xf>
    <xf numFmtId="0" fontId="6" fillId="0" borderId="0" applyAlignment="1" pivotButton="0" quotePrefix="0" xfId="0">
      <alignment vertical="center" wrapText="1" indent="1"/>
    </xf>
    <xf numFmtId="1" fontId="19" fillId="0" borderId="0" applyAlignment="1" pivotButton="0" quotePrefix="0" xfId="0">
      <alignment horizontal="right" vertical="center"/>
    </xf>
    <xf numFmtId="0" fontId="20" fillId="4" borderId="0" applyAlignment="1" pivotButton="0" quotePrefix="0" xfId="0">
      <alignment vertical="center" wrapText="1"/>
    </xf>
    <xf numFmtId="165" fontId="20" fillId="4" borderId="0" applyAlignment="1" pivotButton="0" quotePrefix="0" xfId="0">
      <alignment horizontal="right" vertical="center"/>
    </xf>
    <xf numFmtId="166" fontId="19" fillId="0" borderId="0" applyAlignment="1" pivotButton="0" quotePrefix="0" xfId="0">
      <alignment horizontal="right" vertical="center"/>
    </xf>
    <xf numFmtId="1" fontId="20" fillId="4" borderId="0" applyAlignment="1" pivotButton="0" quotePrefix="0" xfId="0">
      <alignment horizontal="right" vertical="center"/>
    </xf>
    <xf numFmtId="0" fontId="19" fillId="0" borderId="0" applyAlignment="1" pivotButton="0" quotePrefix="0" xfId="0">
      <alignment horizontal="right" vertical="center"/>
    </xf>
    <xf numFmtId="164" fontId="19" fillId="0" borderId="0" applyAlignment="1" pivotButton="0" quotePrefix="0" xfId="0">
      <alignment horizontal="right" vertical="center"/>
    </xf>
    <xf numFmtId="167" fontId="19" fillId="0" borderId="0" applyAlignment="1" pivotButton="0" quotePrefix="0" xfId="0">
      <alignment horizontal="right" vertical="center"/>
    </xf>
    <xf numFmtId="164" fontId="20" fillId="4" borderId="0" applyAlignment="1" pivotButton="0" quotePrefix="0" xfId="0">
      <alignment horizontal="right" vertical="center"/>
    </xf>
    <xf numFmtId="0" fontId="6" fillId="0" borderId="0" applyAlignment="1" pivotButton="0" quotePrefix="0" xfId="0">
      <alignment vertical="top" wrapText="1"/>
    </xf>
    <xf numFmtId="0" fontId="7" fillId="4" borderId="1" applyAlignment="1" pivotButton="0" quotePrefix="0" xfId="0">
      <alignment vertical="bottom" wrapText="1"/>
    </xf>
    <xf numFmtId="0" fontId="4" fillId="0" borderId="0" applyAlignment="1" pivotButton="0" quotePrefix="0" xfId="0">
      <alignment horizontal="left" vertical="top"/>
    </xf>
    <xf numFmtId="164" fontId="4" fillId="0" borderId="0" applyAlignment="1" pivotButton="0" quotePrefix="0" xfId="0">
      <alignment horizontal="left" vertical="top"/>
    </xf>
    <xf numFmtId="165" fontId="4" fillId="3" borderId="0" applyAlignment="1" pivotButton="0" quotePrefix="0" xfId="0">
      <alignment horizontal="right" vertical="top"/>
    </xf>
    <xf numFmtId="164" fontId="4" fillId="3" borderId="0" applyAlignment="1" pivotButton="0" quotePrefix="0" xfId="0">
      <alignment horizontal="right" vertical="top"/>
    </xf>
    <xf numFmtId="166" fontId="4" fillId="3" borderId="0" applyAlignment="1" pivotButton="0" quotePrefix="0" xfId="0">
      <alignment horizontal="right" vertical="top"/>
    </xf>
    <xf numFmtId="1" fontId="4" fillId="3" borderId="0" applyAlignment="1" pivotButton="0" quotePrefix="0" xfId="0">
      <alignment horizontal="right" vertical="top"/>
    </xf>
    <xf numFmtId="164" fontId="5" fillId="0" borderId="0" applyAlignment="1" pivotButton="0" quotePrefix="0" xfId="0">
      <alignment horizontal="right" vertical="top"/>
    </xf>
    <xf numFmtId="0" fontId="8" fillId="2" borderId="0" applyAlignment="1" pivotButton="0" quotePrefix="0" xfId="0">
      <alignment horizontal="left" vertical="center" indent="1"/>
    </xf>
    <xf numFmtId="0" fontId="8" fillId="5" borderId="0" applyAlignment="1" pivotButton="0" quotePrefix="0" xfId="0">
      <alignment horizontal="left" vertical="center" indent="1"/>
    </xf>
    <xf numFmtId="0" fontId="7" fillId="0" borderId="0" applyAlignment="1" pivotButton="0" quotePrefix="0" xfId="0">
      <alignment horizontal="left" vertical="center" indent="1"/>
    </xf>
    <xf numFmtId="0" fontId="4" fillId="0" borderId="2" applyAlignment="1" pivotButton="0" quotePrefix="0" xfId="0">
      <alignment vertical="top"/>
    </xf>
    <xf numFmtId="164" fontId="4" fillId="0" borderId="2" applyAlignment="1" pivotButton="0" quotePrefix="0" xfId="0">
      <alignment vertical="top"/>
    </xf>
    <xf numFmtId="0" fontId="4" fillId="0" borderId="2" applyAlignment="1" pivotButton="0" quotePrefix="0" xfId="0">
      <alignment vertical="top" wrapText="1"/>
    </xf>
    <xf numFmtId="165" fontId="4" fillId="0" borderId="2" applyAlignment="1" pivotButton="0" quotePrefix="0" xfId="0">
      <alignment vertical="top"/>
    </xf>
    <xf numFmtId="165" fontId="5" fillId="0" borderId="2" applyAlignment="1" pivotButton="0" quotePrefix="0" xfId="0">
      <alignment vertical="top"/>
    </xf>
    <xf numFmtId="165" fontId="9" fillId="0" borderId="2" applyAlignment="1" pivotButton="0" quotePrefix="0" xfId="0">
      <alignment vertical="top"/>
    </xf>
    <xf numFmtId="167" fontId="4" fillId="0" borderId="2" applyAlignment="1" pivotButton="0" quotePrefix="0" xfId="0">
      <alignment vertical="top"/>
    </xf>
    <xf numFmtId="167" fontId="5" fillId="0" borderId="2" applyAlignment="1" pivotButton="0" quotePrefix="0" xfId="0">
      <alignment vertical="top"/>
    </xf>
    <xf numFmtId="0" fontId="5" fillId="0" borderId="2" applyAlignment="1" pivotButton="0" quotePrefix="0" xfId="0">
      <alignment vertical="top" wrapText="1"/>
    </xf>
    <xf numFmtId="0" fontId="7" fillId="0" borderId="0" pivotButton="0" quotePrefix="0" xfId="0"/>
    <xf numFmtId="0" fontId="11" fillId="0" borderId="0" pivotButton="0" quotePrefix="0" xfId="0"/>
    <xf numFmtId="0" fontId="6" fillId="0" borderId="0" pivotButton="0" quotePrefix="0" xfId="0"/>
    <xf numFmtId="0" fontId="10" fillId="3" borderId="0" applyAlignment="1" pivotButton="0" quotePrefix="0" xfId="0">
      <alignment horizontal="center"/>
    </xf>
    <xf numFmtId="0" fontId="12" fillId="0" borderId="0" pivotButton="0" quotePrefix="0" xfId="0"/>
    <xf numFmtId="0" fontId="13" fillId="0" borderId="0" pivotButton="0" quotePrefix="0" xfId="0"/>
    <xf numFmtId="0" fontId="14" fillId="0" borderId="0" applyAlignment="1" pivotButton="0" quotePrefix="0" xfId="0">
      <alignment horizontal="right"/>
    </xf>
    <xf numFmtId="0" fontId="15" fillId="0" borderId="0" applyAlignment="1" pivotButton="0" quotePrefix="0" xfId="0">
      <alignment vertical="top" wrapText="1"/>
    </xf>
    <xf numFmtId="0" fontId="5" fillId="0" borderId="0" applyAlignment="1" pivotButton="0" quotePrefix="0" xfId="0">
      <alignment horizontal="left" vertical="top" wrapText="1"/>
    </xf>
    <xf numFmtId="164" fontId="5" fillId="0" borderId="0" applyAlignment="1" pivotButton="0" quotePrefix="0" xfId="0">
      <alignment horizontal="right" vertical="top"/>
    </xf>
    <xf numFmtId="0" fontId="16" fillId="0" borderId="1" pivotButton="0" quotePrefix="0" xfId="0"/>
    <xf numFmtId="0" fontId="9" fillId="0" borderId="0" applyAlignment="1" pivotButton="0" quotePrefix="0" xfId="0">
      <alignment horizontal="left" vertical="top" wrapText="1"/>
    </xf>
    <xf numFmtId="0" fontId="5" fillId="0" borderId="0" applyAlignment="1" pivotButton="0" quotePrefix="0" xfId="0">
      <alignment horizontal="left" vertical="top"/>
    </xf>
    <xf numFmtId="168" fontId="5" fillId="0" borderId="0" applyAlignment="1" pivotButton="0" quotePrefix="0" xfId="0">
      <alignment horizontal="right" vertical="top"/>
    </xf>
    <xf numFmtId="0" fontId="17" fillId="0" borderId="0" applyAlignment="1" pivotButton="0" quotePrefix="0" xfId="0">
      <alignment vertical="top" wrapText="1"/>
    </xf>
    <xf numFmtId="0" fontId="7" fillId="0" borderId="0" applyAlignment="1" pivotButton="0" quotePrefix="0" xfId="0">
      <alignment vertical="top" wrapText="1"/>
    </xf>
    <xf numFmtId="168" fontId="9" fillId="0" borderId="0" applyAlignment="1" pivotButton="0" quotePrefix="0" xfId="0">
      <alignment horizontal="right" vertical="top"/>
    </xf>
    <xf numFmtId="0" fontId="7" fillId="0" borderId="3" applyAlignment="1" pivotButton="0" quotePrefix="0" xfId="0">
      <alignment vertical="top" wrapText="1"/>
    </xf>
    <xf numFmtId="168" fontId="9" fillId="0" borderId="3" applyAlignment="1" pivotButton="0" quotePrefix="0" xfId="0">
      <alignment horizontal="right" vertical="top"/>
    </xf>
    <xf numFmtId="167" fontId="5" fillId="0" borderId="0" applyAlignment="1" pivotButton="0" quotePrefix="0" xfId="0">
      <alignment horizontal="right" vertical="top"/>
    </xf>
    <xf numFmtId="164" fontId="9" fillId="0" borderId="0" applyAlignment="1" pivotButton="0" quotePrefix="0" xfId="0">
      <alignment horizontal="right" vertical="top"/>
    </xf>
    <xf numFmtId="0" fontId="0" fillId="0" borderId="4" pivotButton="0" quotePrefix="0" xfId="0"/>
    <xf numFmtId="0" fontId="18" fillId="0" borderId="0" pivotButton="0" quotePrefix="0" xfId="0"/>
    <xf numFmtId="0" fontId="20" fillId="0" borderId="2" applyAlignment="1" pivotButton="0" quotePrefix="0" xfId="0">
      <alignment vertical="top" wrapText="1"/>
    </xf>
    <xf numFmtId="0" fontId="19" fillId="0" borderId="2" applyAlignment="1" pivotButton="0" quotePrefix="0" xfId="0">
      <alignment vertical="top" wrapText="1"/>
    </xf>
  </cellXfs>
  <cellStyles count="1">
    <cellStyle name="Normal" xfId="0" builtinId="0" hidden="0"/>
  </cellStyles>
  <dxfs count="7">
    <dxf>
      <font>
        <name val="Arial"/>
        <b val="1"/>
        <color rgb="00C00000"/>
        <sz val="10"/>
      </font>
    </dxf>
    <dxf>
      <font>
        <name val="Arial"/>
        <b val="1"/>
        <color rgb="00375623"/>
        <sz val="10"/>
      </font>
      <fill>
        <patternFill patternType="solid">
          <fgColor rgb="00E2EFDA"/>
        </patternFill>
      </fill>
    </dxf>
    <dxf>
      <font>
        <name val="Arial"/>
        <b val="1"/>
        <color rgb="009C0006"/>
        <sz val="10"/>
      </font>
      <fill>
        <patternFill patternType="solid">
          <fgColor rgb="00F8D7DA"/>
        </patternFill>
      </fill>
    </dxf>
    <dxf>
      <font>
        <name val="Arial"/>
        <b val="1"/>
        <color rgb="009C3D00"/>
        <sz val="10"/>
      </font>
      <fill>
        <patternFill patternType="solid">
          <fgColor rgb="00FCE4D6"/>
        </patternFill>
      </fill>
    </dxf>
    <dxf>
      <font>
        <name val="Arial"/>
        <b val="1"/>
        <color rgb="007F6000"/>
        <sz val="10"/>
      </font>
      <fill>
        <patternFill patternType="solid">
          <fgColor rgb="00FFF2CC"/>
        </patternFill>
      </fill>
    </dxf>
    <dxf>
      <font>
        <name val="Arial"/>
        <b val="1"/>
        <color rgb="00595959"/>
        <sz val="10"/>
      </font>
      <fill>
        <patternFill patternType="solid">
          <fgColor rgb="00EDEDED"/>
        </patternFill>
      </fill>
    </dxf>
    <dxf>
      <font>
        <name val="Arial"/>
        <b val="1"/>
        <color rgb="007F6000"/>
        <sz val="10"/>
      </font>
      <fill>
        <patternFill patternType="solid">
          <fgColor rgb="00FFF9E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1</col>
      <colOff>0</colOff>
      <row>2</row>
      <rowOff>0</rowOff>
    </from>
    <ext cx="609600"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FF6A13"/>
    <outlinePr summaryBelow="1" summaryRight="1"/>
    <pageSetUpPr fitToPage="1"/>
  </sheetPr>
  <dimension ref="A1:H24"/>
  <sheetViews>
    <sheetView showGridLines="0" zoomScale="100" workbookViewId="0">
      <selection activeCell="A1" sqref="A1"/>
    </sheetView>
  </sheetViews>
  <sheetFormatPr baseColWidth="8" defaultRowHeight="15"/>
  <cols>
    <col width="3" customWidth="1" min="1" max="1"/>
    <col width="12" customWidth="1" min="2" max="2"/>
    <col width="92" customWidth="1" min="3" max="3"/>
    <col width="3" customWidth="1" min="4" max="4"/>
  </cols>
  <sheetData>
    <row r="1" ht="30" customHeight="1">
      <c r="A1" s="1" t="inlineStr">
        <is>
          <r>
            <rPr>
              <rFont val="Arial"/>
              <b val="1"/>
              <color rgb="00FF6A13"/>
              <sz val="12"/>
            </rPr>
            <t xml:space="preserve">  WORKHOIST</t>
          </r>
          <r>
            <rPr>
              <rFont val="Arial"/>
              <color rgb="00FFFFFF"/>
              <sz val="12"/>
            </rPr>
            <t xml:space="preserve">   Change Order Template  ·  Start Here</t>
          </r>
        </is>
      </c>
    </row>
    <row r="3" ht="26" customHeight="1">
      <c r="C3" s="2" t="inlineStr">
        <is>
          <t>Free Change Order Template and Log</t>
        </is>
      </c>
    </row>
    <row r="4" ht="26" customHeight="1">
      <c r="C4" t="inlineStr">
        <is>
          <r>
            <rPr>
              <rFont val="Arial"/>
              <color rgb="00333333"/>
              <sz val="11"/>
            </rPr>
            <t xml:space="preserve">Price it, get it signed, and keep every change on one job in one place. Free from </t>
          </r>
          <r>
            <rPr>
              <rFont val="Arial"/>
              <b val="1"/>
              <color rgb="00FF6A13"/>
              <sz val="11"/>
            </rPr>
            <t>WorkHoist</t>
          </r>
          <r>
            <rPr>
              <rFont val="Arial"/>
              <color rgb="00333333"/>
              <sz val="11"/>
            </rPr>
            <t xml:space="preserve">  ·  workhoist.app/guides/construction-change-order-template</t>
          </r>
        </is>
      </c>
    </row>
    <row r="5" ht="14" customHeight="1"/>
    <row r="6" ht="22" customHeight="1">
      <c r="C6" s="3" t="inlineStr">
        <is>
          <t>What it does</t>
        </is>
      </c>
    </row>
    <row r="7" ht="75" customHeight="1">
      <c r="C7" s="4" t="inlineStr">
        <is>
          <t>One file per job. Every change goes on the Change Log as one row: what changed, why, who asked for it, what it costs you, what you charge for it, and how many days it adds. The Change Order tab turns any row into a one-page change order to send for signature, with the contract sum and completion date before and after. The Summary shows where the job stands: the revised contract sum, how much work is unsigned, and how long you have been waiting.</t>
        </is>
      </c>
    </row>
    <row r="8" ht="22" customHeight="1">
      <c r="C8" s="3" t="inlineStr">
        <is>
          <t>How to use it</t>
        </is>
      </c>
    </row>
    <row r="9" ht="30" customHeight="1">
      <c r="C9" s="4" t="inlineStr">
        <is>
          <t>1.  Contract: enter the job, your customer, the original contract sum and completion date, and the markups your contract allows on change work.</t>
        </is>
      </c>
    </row>
    <row r="10" ht="30" customHeight="1">
      <c r="C10" s="4" t="inlineStr">
        <is>
          <t>2.  Change Log: one row per change, the day it comes up, even before you have a price. Fill in the cost lines as you price it; the markups and the change in contract sum calculate.</t>
        </is>
      </c>
    </row>
    <row r="11" ht="30" customHeight="1">
      <c r="C11" s="4" t="inlineStr">
        <is>
          <t>3.  Change Order: type the change order number in the yellow cell, check it, print it or save it as a PDF, and send it for signature.</t>
        </is>
      </c>
    </row>
    <row r="12" ht="30" customHeight="1">
      <c r="C12" s="4" t="inlineStr">
        <is>
          <t>4.  When it comes back signed, set the status to Approved and enter the date and who signed. The contract sum and completion date move only for approved changes.</t>
        </is>
      </c>
    </row>
    <row r="13" ht="15" customHeight="1">
      <c r="C13" s="4" t="inlineStr">
        <is>
          <t>5.  Summary: read it before every pay application and every site meeting.</t>
        </is>
      </c>
    </row>
    <row r="14" ht="15" customHeight="1">
      <c r="C14" s="4" t="inlineStr">
        <is>
          <t>6.  Checklist: what every change order needs before you send it, and before work starts.</t>
        </is>
      </c>
    </row>
    <row r="15" ht="22" customHeight="1">
      <c r="C15" s="3" t="inlineStr">
        <is>
          <t>Colours</t>
        </is>
      </c>
    </row>
    <row r="16" ht="15" customHeight="1">
      <c r="C16" s="5" t="inlineStr">
        <is>
          <t>Blue text is what you type.</t>
        </is>
      </c>
    </row>
    <row r="17" ht="15" customHeight="1">
      <c r="C17" s="6" t="inlineStr">
        <is>
          <t>Black text is a formula. Leave it alone.</t>
        </is>
      </c>
    </row>
    <row r="18" ht="15" customHeight="1">
      <c r="C18" s="7" t="inlineStr">
        <is>
          <t>Yellow cells are settings. Set them from your contract before you start.</t>
        </is>
      </c>
    </row>
    <row r="19" ht="22" customHeight="1">
      <c r="C19" s="3" t="inlineStr">
        <is>
          <t>Clearing the sample</t>
        </is>
      </c>
    </row>
    <row r="20" ht="60" customHeight="1">
      <c r="C20" s="4" t="inlineStr">
        <is>
          <t>The file comes with six sample change orders on one sample job so you can see every status working: approved, a credit, submitted and waiting, being priced, going ahead under a directive while the price is argued, and rejected. Their dates are set relative to today, so the waiting times stay live. To start your own, type over the blue entries or delete them. Do not delete rows or the black formula columns.</t>
        </is>
      </c>
    </row>
    <row r="21" ht="22" customHeight="1">
      <c r="C21" s="3" t="inlineStr">
        <is>
          <t>This is not legal advice</t>
        </is>
      </c>
    </row>
    <row r="22" ht="60" customHeight="1">
      <c r="C22" s="4" t="inlineStr">
        <is>
          <t>Whether a change order is enforceable, who can sign one, what markup you can charge and how fast you must give notice are set by your contract and the law where the job is. The sample markups are placeholders, not a recommendation. Read the change clause in your contract, and ask a construction attorney licensed in your state before relying on any of it.</t>
        </is>
      </c>
    </row>
    <row r="23" ht="22" customHeight="1">
      <c r="C23" s="3" t="inlineStr">
        <is>
          <t>Where it stops</t>
        </is>
      </c>
    </row>
    <row r="24" ht="60" customHeight="1">
      <c r="C24" s="4" t="inlineStr">
        <is>
          <t>It is one job per file, and it holds the price you agree, not the hours and receipts behind it. Keep T&amp;M tickets, photos and the emails that confirm a verbal direction with the job, and note where they are in the Backup column. The guide this template comes with explains the rest: workhoist.app/guides/construction-change-order-template</t>
        </is>
      </c>
    </row>
  </sheetData>
  <mergeCells count="1">
    <mergeCell ref="A1:H1"/>
  </mergeCells>
  <pageMargins left="0.75" right="0.75" top="1" bottom="1" header="0.5" footer="0.5"/>
  <pageSetup orientation="landscape" fitToHeight="0" fitToWidth="1"/>
  <headerFooter>
    <oddHeader/>
    <oddFooter>&amp;L&amp;8 Free change order template from WorkHoist · workhoist.app/guides/construction-change-order-template&amp;R&amp;8 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tabColor rgb="00FF6A13"/>
    <outlinePr summaryBelow="1" summaryRight="1"/>
    <pageSetUpPr fitToPage="1"/>
  </sheetPr>
  <dimension ref="A1:D31"/>
  <sheetViews>
    <sheetView showGridLines="0" zoomScale="100" workbookViewId="0">
      <selection activeCell="A1" sqref="A1"/>
    </sheetView>
  </sheetViews>
  <sheetFormatPr baseColWidth="8" defaultRowHeight="15"/>
  <cols>
    <col width="3" customWidth="1" min="1" max="1"/>
    <col width="52" customWidth="1" min="2" max="2"/>
    <col width="22" customWidth="1" min="3" max="3"/>
    <col width="70" customWidth="1" min="4" max="4"/>
  </cols>
  <sheetData>
    <row r="1" ht="30" customHeight="1">
      <c r="A1" s="1" t="inlineStr">
        <is>
          <r>
            <rPr>
              <rFont val="Arial"/>
              <b val="1"/>
              <color rgb="00FF6A13"/>
              <sz val="12"/>
            </rPr>
            <t xml:space="preserve">  WORKHOIST</t>
          </r>
          <r>
            <rPr>
              <rFont val="Arial"/>
              <color rgb="00FFFFFF"/>
              <sz val="12"/>
            </rPr>
            <t xml:space="preserve">   Change Order Template  ·  Summary</t>
          </r>
        </is>
      </c>
    </row>
    <row r="2">
      <c r="B2" s="3">
        <f>"Change orders on "&amp;'Contract'!$B$7</f>
        <v/>
      </c>
    </row>
    <row r="4" ht="22" customHeight="1">
      <c r="B4" s="8" t="inlineStr">
        <is>
          <t>Contract sum</t>
        </is>
      </c>
      <c r="C4" s="9" t="n"/>
      <c r="D4" s="9" t="n"/>
    </row>
    <row r="5" ht="20" customHeight="1">
      <c r="B5" s="10" t="inlineStr">
        <is>
          <t>Original contract sum</t>
        </is>
      </c>
      <c r="C5" s="11">
        <f>'Contract'!$B$10</f>
        <v/>
      </c>
      <c r="D5" s="12" t="n"/>
    </row>
    <row r="6" ht="20" customHeight="1">
      <c r="B6" s="10" t="inlineStr">
        <is>
          <t>Approved change orders</t>
        </is>
      </c>
      <c r="C6" s="13">
        <f>COUNTIFS('Change Log'!$W$6:$W$105,"Approved")</f>
        <v/>
      </c>
      <c r="D6" s="12" t="n"/>
    </row>
    <row r="7" ht="20" customHeight="1">
      <c r="B7" s="10" t="inlineStr">
        <is>
          <t>Net change from approved change orders</t>
        </is>
      </c>
      <c r="C7" s="11">
        <f>SUMIFS('Change Log'!$U$6:$U$105,'Change Log'!$W$6:$W$105,"Approved")</f>
        <v/>
      </c>
      <c r="D7" s="12" t="inlineStr">
        <is>
          <t>Credits are included as negatives.</t>
        </is>
      </c>
    </row>
    <row r="8" ht="34" customHeight="1">
      <c r="B8" s="14" t="inlineStr">
        <is>
          <t>Revised contract sum</t>
        </is>
      </c>
      <c r="C8" s="15">
        <f>C5+C7</f>
        <v/>
      </c>
      <c r="D8" s="12" t="inlineStr">
        <is>
          <t>What you can bill against. Put each approved change order on your next pay application as its own line.</t>
        </is>
      </c>
    </row>
    <row r="9" ht="20" customHeight="1">
      <c r="B9" s="10" t="inlineStr">
        <is>
          <t>Change from the original contract</t>
        </is>
      </c>
      <c r="C9" s="16">
        <f>IF(C5=0,"",C7/C5)</f>
        <v/>
      </c>
      <c r="D9" s="12" t="n"/>
    </row>
    <row r="11" ht="22" customHeight="1">
      <c r="B11" s="8" t="inlineStr">
        <is>
          <t>Not yet signed</t>
        </is>
      </c>
      <c r="C11" s="9" t="n"/>
      <c r="D11" s="9" t="n"/>
    </row>
    <row r="12" ht="34" customHeight="1">
      <c r="B12" s="10" t="inlineStr">
        <is>
          <t>Change orders open (pricing, submitted, or going ahead under a directive)</t>
        </is>
      </c>
      <c r="C12" s="13">
        <f>COUNTIFS('Change Log'!$W$6:$W$105,"Pricing")+COUNTIFS('Change Log'!$W$6:$W$105,"Submitted")+COUNTIFS('Change Log'!$W$6:$W$105,"Directive: price open")</f>
        <v/>
      </c>
      <c r="D12" s="12" t="n"/>
    </row>
    <row r="13" ht="34" customHeight="1">
      <c r="B13" s="14" t="inlineStr">
        <is>
          <t>Value of unsigned changes</t>
        </is>
      </c>
      <c r="C13" s="15">
        <f>SUMIFS('Change Log'!$U$6:$U$105,'Change Log'!$W$6:$W$105,"Pricing")+SUMIFS('Change Log'!$U$6:$U$105,'Change Log'!$W$6:$W$105,"Submitted")+SUMIFS('Change Log'!$U$6:$U$105,'Change Log'!$W$6:$W$105,"Directive: price open")</f>
        <v/>
      </c>
      <c r="D13" s="12" t="inlineStr">
        <is>
          <t>Money you may be owed but cannot yet bill, except any undisputed part of a directive your contract lets you bill.</t>
        </is>
      </c>
    </row>
    <row r="14" ht="48" customHeight="1">
      <c r="B14" s="10" t="inlineStr">
        <is>
          <t>Unsigned changes as a share of the original contract</t>
        </is>
      </c>
      <c r="C14" s="16">
        <f>IF(C5=0,"",C13/C5)</f>
        <v/>
      </c>
      <c r="D14" s="12" t="inlineStr">
        <is>
          <t>In Texas, once owner-directed extra work without a fully executed change order passes 10% of your original contract, you may elect not to proceed with more (Property Code 28.0091). Ask your attorney before relying on it.</t>
        </is>
      </c>
    </row>
    <row r="15" ht="34" customHeight="1">
      <c r="B15" s="14" t="inlineStr">
        <is>
          <t>Work started before the change order was signed</t>
        </is>
      </c>
      <c r="C15" s="17">
        <f>COUNTIF('Change Log'!$AC$6:$AC$105,"Work started*")+COUNTIF('Change Log'!$AC$6:$AC$105,"Going ahead*")</f>
        <v/>
      </c>
      <c r="D15" s="12" t="inlineStr">
        <is>
          <t>Each one is work you have paid for without a signed price. Get it priced and signed first.</t>
        </is>
      </c>
    </row>
    <row r="16" ht="20" customHeight="1">
      <c r="B16" s="14" t="inlineStr">
        <is>
          <t>Verbal directions not yet confirmed in writing</t>
        </is>
      </c>
      <c r="C16" s="17">
        <f>COUNTIF('Change Log'!$AC$6:$AC$105,"Verbal only*")</f>
        <v/>
      </c>
      <c r="D16" s="12" t="inlineStr">
        <is>
          <t>Send a confirming email today.</t>
        </is>
      </c>
    </row>
    <row r="17" ht="20" customHeight="1">
      <c r="B17" s="10" t="inlineStr">
        <is>
          <t>Waiting longer than your chase limit</t>
        </is>
      </c>
      <c r="C17" s="13">
        <f>COUNTIF('Change Log'!$AC$6:$AC$105,"Chase*")</f>
        <v/>
      </c>
      <c r="D17" s="12" t="n"/>
    </row>
    <row r="18" ht="20" customHeight="1">
      <c r="B18" s="10" t="inlineStr">
        <is>
          <t>Longest wait for a signature (days)</t>
        </is>
      </c>
      <c r="C18" s="13">
        <f>IF(COUNT('Change Log'!$AB$6:$AB$105)=0,"",MAX('Change Log'!$AB$6:$AB$105))</f>
        <v/>
      </c>
      <c r="D18" s="12" t="n"/>
    </row>
    <row r="19" ht="20" customHeight="1">
      <c r="B19" s="10" t="inlineStr">
        <is>
          <t>Which one</t>
        </is>
      </c>
      <c r="C19" s="18">
        <f>IF(C18="","",INDEX('Change Log'!$A$6:$A$105,MATCH(C18,'Change Log'!$AB$6:$AB$105,0)))</f>
        <v/>
      </c>
      <c r="D19" s="12" t="n"/>
    </row>
    <row r="21" ht="22" customHeight="1">
      <c r="B21" s="8" t="inlineStr">
        <is>
          <t>Time</t>
        </is>
      </c>
      <c r="C21" s="9" t="n"/>
      <c r="D21" s="9" t="n"/>
    </row>
    <row r="22" ht="20" customHeight="1">
      <c r="B22" s="10" t="inlineStr">
        <is>
          <t>Original completion date</t>
        </is>
      </c>
      <c r="C22" s="19">
        <f>'Contract'!$B$11</f>
        <v/>
      </c>
      <c r="D22" s="12" t="n"/>
    </row>
    <row r="23" ht="20" customHeight="1">
      <c r="B23" s="10" t="inlineStr">
        <is>
          <t>Days added by approved change orders</t>
        </is>
      </c>
      <c r="C23" s="20">
        <f>SUMIFS('Change Log'!$V$6:$V$105,'Change Log'!$W$6:$W$105,"Approved")</f>
        <v/>
      </c>
      <c r="D23" s="12" t="n"/>
    </row>
    <row r="24" ht="20" customHeight="1">
      <c r="B24" s="14" t="inlineStr">
        <is>
          <t>Revised completion date</t>
        </is>
      </c>
      <c r="C24" s="21">
        <f>C22+C23</f>
        <v/>
      </c>
      <c r="D24" s="12" t="n"/>
    </row>
    <row r="25" ht="20" customHeight="1">
      <c r="B25" s="10" t="inlineStr">
        <is>
          <t>Days asked for in unsigned changes</t>
        </is>
      </c>
      <c r="C25" s="20">
        <f>SUMIFS('Change Log'!$V$6:$V$105,'Change Log'!$W$6:$W$105,"Pricing")+SUMIFS('Change Log'!$V$6:$V$105,'Change Log'!$W$6:$W$105,"Submitted")+SUMIFS('Change Log'!$V$6:$V$105,'Change Log'!$W$6:$W$105,"Directive: price open")</f>
        <v/>
      </c>
      <c r="D25" s="12" t="inlineStr">
        <is>
          <t>Not in the completion date until signed.</t>
        </is>
      </c>
    </row>
    <row r="27" ht="22" customHeight="1">
      <c r="B27" s="8" t="inlineStr">
        <is>
          <t>Closed</t>
        </is>
      </c>
      <c r="C27" s="9" t="n"/>
      <c r="D27" s="9" t="n"/>
    </row>
    <row r="28" ht="20" customHeight="1">
      <c r="B28" s="10" t="inlineStr">
        <is>
          <t>Rejected</t>
        </is>
      </c>
      <c r="C28" s="13">
        <f>COUNTIFS('Change Log'!$W$6:$W$105,"Rejected")</f>
        <v/>
      </c>
      <c r="D28" s="12" t="n"/>
    </row>
    <row r="29" ht="20" customHeight="1">
      <c r="B29" s="10" t="inlineStr">
        <is>
          <t>Value of rejected change orders</t>
        </is>
      </c>
      <c r="C29" s="11">
        <f>SUMIFS('Change Log'!$U$6:$U$105,'Change Log'!$W$6:$W$105,"Rejected")</f>
        <v/>
      </c>
      <c r="D29" s="12" t="inlineStr">
        <is>
          <t>Worth a look at closeout: was any of it done anyway?</t>
        </is>
      </c>
    </row>
    <row r="31" ht="30" customHeight="1">
      <c r="B31" s="22" t="inlineStr">
        <is>
          <t>Not legal advice. Whether a change order binds your customer, and what you can charge for it, is set by your contract and the law where the job is. Free from WorkHoist: workhoist.app/guides/construction-change-order-template</t>
        </is>
      </c>
    </row>
  </sheetData>
  <mergeCells count="2">
    <mergeCell ref="B31:D31"/>
    <mergeCell ref="A1:D1"/>
  </mergeCells>
  <conditionalFormatting sqref="C15">
    <cfRule type="expression" priority="1" dxfId="0">
      <formula>C15&gt;0</formula>
    </cfRule>
  </conditionalFormatting>
  <conditionalFormatting sqref="C16">
    <cfRule type="expression" priority="2" dxfId="0">
      <formula>C16&gt;0</formula>
    </cfRule>
  </conditionalFormatting>
  <pageMargins left="0.75" right="0.75" top="1" bottom="1" header="0.5" footer="0.5"/>
  <pageSetup orientation="portrait" fitToHeight="1" fitToWidth="1"/>
  <headerFooter>
    <oddHeader/>
    <oddFooter>&amp;L&amp;8 Free change order template from WorkHoist · workhoist.app/guides/construction-change-order-template&amp;R&amp;8 Page &amp;P of &amp;N</oddFooter>
    <evenHeader/>
    <evenFooter/>
    <firstHeader/>
    <firstFooter/>
  </headerFooter>
</worksheet>
</file>

<file path=xl/worksheets/sheet3.xml><?xml version="1.0" encoding="utf-8"?>
<worksheet xmlns="http://schemas.openxmlformats.org/spreadsheetml/2006/main">
  <sheetPr>
    <tabColor rgb="000E1822"/>
    <outlinePr summaryBelow="1" summaryRight="1"/>
    <pageSetUpPr fitToPage="1"/>
  </sheetPr>
  <dimension ref="A1:C16"/>
  <sheetViews>
    <sheetView showGridLines="0" zoomScale="100" workbookViewId="0">
      <selection activeCell="A1" sqref="A1"/>
    </sheetView>
  </sheetViews>
  <sheetFormatPr baseColWidth="8" defaultRowHeight="15"/>
  <cols>
    <col width="50" customWidth="1" min="1" max="1"/>
    <col width="26" customWidth="1" min="2" max="2"/>
    <col width="86" customWidth="1" min="3" max="3"/>
  </cols>
  <sheetData>
    <row r="1" ht="30" customHeight="1">
      <c r="A1" s="1" t="inlineStr">
        <is>
          <r>
            <rPr>
              <rFont val="Arial"/>
              <b val="1"/>
              <color rgb="00FF6A13"/>
              <sz val="12"/>
            </rPr>
            <t xml:space="preserve">  WORKHOIST</t>
          </r>
          <r>
            <rPr>
              <rFont val="Arial"/>
              <color rgb="00FFFFFF"/>
              <sz val="12"/>
            </rPr>
            <t xml:space="preserve">   Change Order Template  ·  Contract</t>
          </r>
        </is>
      </c>
    </row>
    <row r="2" ht="30" customHeight="1">
      <c r="A2" s="22" t="inlineStr">
        <is>
          <t>Set these once per job, from your contract. Every change order and every total in this file reads them.</t>
        </is>
      </c>
    </row>
    <row r="4" ht="22" customHeight="1">
      <c r="A4" s="23" t="inlineStr">
        <is>
          <t>Contract</t>
        </is>
      </c>
      <c r="B4" s="23" t="inlineStr">
        <is>
          <t>Value</t>
        </is>
      </c>
      <c r="C4" s="23" t="inlineStr">
        <is>
          <t>Notes</t>
        </is>
      </c>
    </row>
    <row r="5" ht="18" customHeight="1">
      <c r="A5" s="6" t="inlineStr">
        <is>
          <t>Your company</t>
        </is>
      </c>
      <c r="B5" s="24" t="inlineStr">
        <is>
          <t>Your company name</t>
        </is>
      </c>
      <c r="C5" s="22" t="inlineStr">
        <is>
          <t>Printed at the top of every change order.</t>
        </is>
      </c>
    </row>
    <row r="6" ht="32" customHeight="1">
      <c r="A6" s="6" t="inlineStr">
        <is>
          <t>Customer (owner or general contractor)</t>
        </is>
      </c>
      <c r="B6" s="24" t="inlineStr">
        <is>
          <t>Harbor Street Partners LLC</t>
        </is>
      </c>
      <c r="C6" s="22" t="inlineStr">
        <is>
          <t>Whoever signs your change orders: the owner on a prime contract, the general contractor on a subcontract.</t>
        </is>
      </c>
    </row>
    <row r="7" ht="18" customHeight="1">
      <c r="A7" s="6" t="inlineStr">
        <is>
          <t>Job</t>
        </is>
      </c>
      <c r="B7" s="24" t="inlineStr">
        <is>
          <t>Harbor Street apartments, Building B</t>
        </is>
      </c>
      <c r="C7" s="22" t="n"/>
    </row>
    <row r="8" ht="18" customHeight="1">
      <c r="A8" s="6" t="inlineStr">
        <is>
          <t>Job address</t>
        </is>
      </c>
      <c r="B8" s="24" t="inlineStr">
        <is>
          <t>1200 Harbor Street</t>
        </is>
      </c>
      <c r="C8" s="22" t="n"/>
    </row>
    <row r="9" ht="18" customHeight="1">
      <c r="A9" s="6" t="inlineStr">
        <is>
          <t>Contract date</t>
        </is>
      </c>
      <c r="B9" s="25">
        <f>TODAY()-150</f>
        <v/>
      </c>
      <c r="C9" s="22" t="n"/>
    </row>
    <row r="10" ht="18" customHeight="1">
      <c r="A10" s="6" t="inlineStr">
        <is>
          <t>Original contract sum</t>
        </is>
      </c>
      <c r="B10" s="26" t="n">
        <v>1240000</v>
      </c>
      <c r="C10" s="22" t="inlineStr">
        <is>
          <t>The signed contract amount, before any change orders.</t>
        </is>
      </c>
    </row>
    <row r="11" ht="18" customHeight="1">
      <c r="A11" s="6" t="inlineStr">
        <is>
          <t>Original completion date</t>
        </is>
      </c>
      <c r="B11" s="27">
        <f>TODAY()+120</f>
        <v/>
      </c>
      <c r="C11" s="22" t="inlineStr">
        <is>
          <t>The completion date in the signed contract.</t>
        </is>
      </c>
    </row>
    <row r="12" ht="32" customHeight="1">
      <c r="A12" s="6" t="inlineStr">
        <is>
          <t>Overhead and profit on your own work</t>
        </is>
      </c>
      <c r="B12" s="28" t="n">
        <v>0.1</v>
      </c>
      <c r="C12" s="22" t="inlineStr">
        <is>
          <t>Sample value, not a recommendation. Use what your contract’s change clause allows on change work, if it says. Applied to labor, material, equipment and other costs.</t>
        </is>
      </c>
    </row>
    <row r="13" ht="32" customHeight="1">
      <c r="A13" s="6" t="inlineStr">
        <is>
          <t>Markup on subcontractor work</t>
        </is>
      </c>
      <c r="B13" s="28" t="n">
        <v>0.05</v>
      </c>
      <c r="C13" s="22" t="inlineStr">
        <is>
          <t>Sample value. Many contracts allow a lower markup on work your subs do than on your own. Applied to the Subcontractors column.</t>
        </is>
      </c>
    </row>
    <row r="14" ht="32" customHeight="1">
      <c r="A14" s="6" t="inlineStr">
        <is>
          <t>Bond and insurance</t>
        </is>
      </c>
      <c r="B14" s="28" t="n">
        <v>0.01</v>
      </c>
      <c r="C14" s="22" t="inlineStr">
        <is>
          <t>Sample value. Set to 0 if your contract does not allow it or you have no bond. Applied to the direct cost plus markups.</t>
        </is>
      </c>
    </row>
    <row r="15" ht="32" customHeight="1">
      <c r="A15" s="6" t="inlineStr">
        <is>
          <t>Chase a change order after this many days unsigned</t>
        </is>
      </c>
      <c r="B15" s="29" t="n">
        <v>14</v>
      </c>
      <c r="C15" s="22" t="inlineStr">
        <is>
          <t>Rows waiting longer than this are flagged on the Change Log and counted on the Summary.</t>
        </is>
      </c>
    </row>
    <row r="16" ht="18" customHeight="1">
      <c r="A16" s="6" t="inlineStr">
        <is>
          <t>Today</t>
        </is>
      </c>
      <c r="B16" s="30">
        <f>TODAY()</f>
        <v/>
      </c>
      <c r="C16" s="22" t="inlineStr">
        <is>
          <t>Calculates. Every “days waiting” counts from this date.</t>
        </is>
      </c>
    </row>
  </sheetData>
  <mergeCells count="2">
    <mergeCell ref="A1:C1"/>
    <mergeCell ref="A2:C2"/>
  </mergeCells>
  <pageMargins left="0.75" right="0.75" top="1" bottom="1" header="0.5" footer="0.5"/>
  <pageSetup orientation="landscape" fitToHeight="0" fitToWidth="1"/>
  <headerFooter>
    <oddHeader/>
    <oddFooter>&amp;L&amp;8 Free change order template from WorkHoist · workhoist.app/guides/construction-change-order-template&amp;R&amp;8 Page &amp;P of &amp;N</oddFooter>
    <evenHeader/>
    <evenFooter/>
    <firstHeader/>
    <firstFooter/>
  </headerFooter>
</worksheet>
</file>

<file path=xl/worksheets/sheet4.xml><?xml version="1.0" encoding="utf-8"?>
<worksheet xmlns="http://schemas.openxmlformats.org/spreadsheetml/2006/main">
  <sheetPr>
    <tabColor rgb="000E1822"/>
    <outlinePr summaryBelow="1" summaryRight="1"/>
    <pageSetUpPr fitToPage="1"/>
  </sheetPr>
  <dimension ref="A1:AG105"/>
  <sheetViews>
    <sheetView zoomScale="100" workbookViewId="0">
      <pane xSplit="3" ySplit="5" topLeftCell="D6" activePane="bottomRight" state="frozen"/>
      <selection pane="topRight"/>
      <selection pane="bottomLeft"/>
      <selection pane="bottomRight" activeCell="A1" sqref="A1"/>
    </sheetView>
  </sheetViews>
  <sheetFormatPr baseColWidth="8" defaultRowHeight="15"/>
  <cols>
    <col width="9" customWidth="1" min="1" max="1"/>
    <col width="12" customWidth="1" min="2" max="2"/>
    <col width="26" customWidth="1" min="3" max="3"/>
    <col width="44" customWidth="1" min="4" max="4"/>
    <col width="18" customWidth="1" min="5" max="5"/>
    <col width="18" customWidth="1" min="6" max="6"/>
    <col width="15" customWidth="1" min="7" max="7"/>
    <col width="13" customWidth="1" min="8" max="8"/>
    <col width="14" customWidth="1" min="9" max="9"/>
    <col width="12" customWidth="1" min="10" max="10"/>
    <col width="12" customWidth="1" min="11" max="11"/>
    <col width="12" customWidth="1" min="12" max="12"/>
    <col width="13" customWidth="1" min="13" max="13"/>
    <col width="12" customWidth="1" min="14" max="14"/>
    <col width="12" customWidth="1" min="15" max="15"/>
    <col width="12" customWidth="1" min="16" max="16"/>
    <col width="11" customWidth="1" min="17" max="17"/>
    <col width="11" customWidth="1" min="18" max="18"/>
    <col width="13" customWidth="1" min="19" max="19"/>
    <col width="13" customWidth="1" min="20" max="20"/>
    <col width="14" customWidth="1" min="21" max="21"/>
    <col width="10" customWidth="1" min="22" max="22"/>
    <col width="15" customWidth="1" min="23" max="23"/>
    <col width="12" customWidth="1" min="24" max="24"/>
    <col width="12" customWidth="1" min="25" max="25"/>
    <col width="18" customWidth="1" min="26" max="26"/>
    <col width="12" customWidth="1" min="27" max="27"/>
    <col width="9" customWidth="1" min="28" max="28"/>
    <col width="34" customWidth="1" min="29" max="29"/>
    <col width="14" customWidth="1" min="30" max="30"/>
    <col width="11" customWidth="1" min="31" max="31"/>
    <col width="34" customWidth="1" min="32" max="32"/>
    <col width="30" customWidth="1" min="33" max="33"/>
  </cols>
  <sheetData>
    <row r="1" ht="30" customHeight="1">
      <c r="A1" s="1" t="inlineStr">
        <is>
          <r>
            <rPr>
              <rFont val="Arial"/>
              <b val="1"/>
              <color rgb="00FF6A13"/>
              <sz val="12"/>
            </rPr>
            <t xml:space="preserve">  WORKHOIST</t>
          </r>
          <r>
            <rPr>
              <rFont val="Arial"/>
              <color rgb="00FFFFFF"/>
              <sz val="12"/>
            </rPr>
            <t xml:space="preserve">   Change Order Template  ·  Change Log</t>
          </r>
        </is>
      </c>
    </row>
    <row r="2" ht="30" customHeight="1">
      <c r="A2" s="22" t="inlineStr">
        <is>
          <t>One row per change, the day it comes up. Enter your cost; the markups and the change in contract sum calculate. For a credit (work taken out), enter the costs as negative numbers. Set the status to Approved only when you hold the signed change order.</t>
        </is>
      </c>
    </row>
    <row r="4" ht="20" customHeight="1">
      <c r="A4" s="31" t="inlineStr">
        <is>
          <t>The change</t>
        </is>
      </c>
      <c r="J4" s="31" t="inlineStr">
        <is>
          <t>Your cost</t>
        </is>
      </c>
      <c r="O4" s="32" t="inlineStr">
        <is>
          <t>Price (calculates, except the agreed price)</t>
        </is>
      </c>
      <c r="V4" s="31" t="inlineStr">
        <is>
          <t>Time and signature</t>
        </is>
      </c>
      <c r="AB4" s="32" t="inlineStr">
        <is>
          <t>Checks (calculate)</t>
        </is>
      </c>
      <c r="AF4" s="33" t="n"/>
    </row>
    <row r="5" ht="80" customHeight="1">
      <c r="A5" s="23" t="inlineStr">
        <is>
          <t>CO #</t>
        </is>
      </c>
      <c r="B5" s="23" t="inlineStr">
        <is>
          <t>Date raised</t>
        </is>
      </c>
      <c r="C5" s="23" t="inlineStr">
        <is>
          <t>Title</t>
        </is>
      </c>
      <c r="D5" s="23" t="inlineStr">
        <is>
          <t>Description of the change (what, where, drawing or RFI refs)</t>
        </is>
      </c>
      <c r="E5" s="23" t="inlineStr">
        <is>
          <t>Reason</t>
        </is>
      </c>
      <c r="F5" s="23" t="inlineStr">
        <is>
          <t>Requested or directed by</t>
        </is>
      </c>
      <c r="G5" s="23" t="inlineStr">
        <is>
          <t>How it was directed</t>
        </is>
      </c>
      <c r="H5" s="23" t="inlineStr">
        <is>
          <t>Verbal direction confirmed in writing on</t>
        </is>
      </c>
      <c r="I5" s="23" t="inlineStr">
        <is>
          <t>Pricing method</t>
        </is>
      </c>
      <c r="J5" s="23" t="inlineStr">
        <is>
          <t>Labor</t>
        </is>
      </c>
      <c r="K5" s="23" t="inlineStr">
        <is>
          <t>Material</t>
        </is>
      </c>
      <c r="L5" s="23" t="inlineStr">
        <is>
          <t>Equipment</t>
        </is>
      </c>
      <c r="M5" s="23" t="inlineStr">
        <is>
          <t>Subcontractors</t>
        </is>
      </c>
      <c r="N5" s="23" t="inlineStr">
        <is>
          <t>Other (permits, disposal, rentals)</t>
        </is>
      </c>
      <c r="O5" s="23" t="inlineStr">
        <is>
          <t>Direct cost</t>
        </is>
      </c>
      <c r="P5" s="23" t="inlineStr">
        <is>
          <t>Overhead and profit</t>
        </is>
      </c>
      <c r="Q5" s="23" t="inlineStr">
        <is>
          <t>Markup on subs</t>
        </is>
      </c>
      <c r="R5" s="23" t="inlineStr">
        <is>
          <t>Bond and insurance</t>
        </is>
      </c>
      <c r="S5" s="23" t="inlineStr">
        <is>
          <t>Calculated price</t>
        </is>
      </c>
      <c r="T5" s="23" t="inlineStr">
        <is>
          <t>Agreed price, if different (type it)</t>
        </is>
      </c>
      <c r="U5" s="23" t="inlineStr">
        <is>
          <t>Change in contract sum</t>
        </is>
      </c>
      <c r="V5" s="23" t="inlineStr">
        <is>
          <t>Days added (+) or saved (−)</t>
        </is>
      </c>
      <c r="W5" s="23" t="inlineStr">
        <is>
          <t>Status</t>
        </is>
      </c>
      <c r="X5" s="23" t="inlineStr">
        <is>
          <t>Submitted on</t>
        </is>
      </c>
      <c r="Y5" s="23" t="inlineStr">
        <is>
          <t>Signed on</t>
        </is>
      </c>
      <c r="Z5" s="23" t="inlineStr">
        <is>
          <t>Signed by</t>
        </is>
      </c>
      <c r="AA5" s="23" t="inlineStr">
        <is>
          <t>Work started on</t>
        </is>
      </c>
      <c r="AB5" s="23" t="inlineStr">
        <is>
          <t>Days waiting</t>
        </is>
      </c>
      <c r="AC5" s="23" t="inlineStr">
        <is>
          <t>Flag</t>
        </is>
      </c>
      <c r="AD5" s="23" t="inlineStr">
        <is>
          <t>Approved changes before this one</t>
        </is>
      </c>
      <c r="AE5" s="23" t="inlineStr">
        <is>
          <t>Approved days before this one</t>
        </is>
      </c>
      <c r="AF5" s="23" t="inlineStr">
        <is>
          <t>Backup (tickets, photos, emails: where they are)</t>
        </is>
      </c>
      <c r="AG5" s="23" t="inlineStr">
        <is>
          <t>Notes</t>
        </is>
      </c>
    </row>
    <row r="6" ht="64" customHeight="1">
      <c r="A6" s="34" t="inlineStr">
        <is>
          <t>CO-001</t>
        </is>
      </c>
      <c r="B6" s="35">
        <f>TODAY()-96</f>
        <v/>
      </c>
      <c r="C6" s="36" t="inlineStr">
        <is>
          <t>Floor outlets, community room</t>
        </is>
      </c>
      <c r="D6" s="36" t="inlineStr">
        <is>
          <t>Add 12 floor boxes with duplex receptacles in the ground-floor community room, per owner sketch SK-03. Includes trenching and patching the slab.</t>
        </is>
      </c>
      <c r="E6" s="34" t="inlineStr">
        <is>
          <t>Owner request</t>
        </is>
      </c>
      <c r="F6" s="36" t="inlineStr">
        <is>
          <t>Dana Ruiz, owner’s rep</t>
        </is>
      </c>
      <c r="G6" s="34" t="inlineStr">
        <is>
          <t>Written request</t>
        </is>
      </c>
      <c r="H6" s="35" t="n"/>
      <c r="I6" s="34" t="inlineStr">
        <is>
          <t>Lump sum</t>
        </is>
      </c>
      <c r="J6" s="37" t="n">
        <v>4200</v>
      </c>
      <c r="K6" s="37" t="n">
        <v>3150</v>
      </c>
      <c r="L6" s="37" t="n">
        <v>600</v>
      </c>
      <c r="M6" s="37" t="n">
        <v>0</v>
      </c>
      <c r="N6" s="37" t="n">
        <v>350</v>
      </c>
      <c r="O6" s="38">
        <f>IF($A6="","",SUM(J6:N6))</f>
        <v/>
      </c>
      <c r="P6" s="38">
        <f>IF($A6="","",ROUND((N(J6)+N(K6)+N(L6)+N(N6))*'Contract'!$B$12,2))</f>
        <v/>
      </c>
      <c r="Q6" s="38">
        <f>IF($A6="","",ROUND(N(M6)*'Contract'!$B$13,2))</f>
        <v/>
      </c>
      <c r="R6" s="38">
        <f>IF($A6="","",ROUND((O6+P6+Q6)*'Contract'!$B$14,2))</f>
        <v/>
      </c>
      <c r="S6" s="38">
        <f>IF($A6="","",O6+P6+Q6+R6)</f>
        <v/>
      </c>
      <c r="T6" s="37" t="n"/>
      <c r="U6" s="39">
        <f>IF($A6="","",IF(ISNUMBER(T6),T6,S6))</f>
        <v/>
      </c>
      <c r="V6" s="40" t="n">
        <v>3</v>
      </c>
      <c r="W6" s="34" t="inlineStr">
        <is>
          <t>Approved</t>
        </is>
      </c>
      <c r="X6" s="35">
        <f>TODAY()-90</f>
        <v/>
      </c>
      <c r="Y6" s="35">
        <f>TODAY()-81</f>
        <v/>
      </c>
      <c r="Z6" s="34" t="inlineStr">
        <is>
          <t>Dana Ruiz</t>
        </is>
      </c>
      <c r="AA6" s="35">
        <f>TODAY()-78</f>
        <v/>
      </c>
      <c r="AB6" s="41">
        <f>IF(OR($A6="",AND(W6&lt;&gt;"Submitted",W6&lt;&gt;"Directive: price open",W6&lt;&gt;"Pricing")),"",'Contract'!$B$16-IF(ISNUMBER(X6),X6,IF(ISNUMBER(H6),H6,B6)))</f>
        <v/>
      </c>
      <c r="AC6" s="42">
        <f>IF($A6="","",IF(W6="","Set a status",IF(W6="Approved",IF(Y6="","Approved: enter the date it was signed","Signed"),IF(OR(W6="Rejected",W6="Void"),W6,IF(AND(G6="Verbal",H6=""),"Verbal only: confirm it in writing today",IF(AND(ISNUMBER(AA6),W6="Pricing"),"Work started, not yet priced",IF(AND(ISNUMBER(AA6),W6="Submitted"),"Work started, not signed",IF(W6="Directive: price open","Going ahead under a directive: agree the price",IF(AND(ISNUMBER(AB6),AB6&gt;'Contract'!$B$15),"Chase: waiting "&amp;AB6&amp;" days",IF(W6="Pricing","Price it and send it","Waiting for signature"))))))))))</f>
        <v/>
      </c>
      <c r="AD6" s="38">
        <f>IF($A6="","",0)</f>
        <v/>
      </c>
      <c r="AE6" s="41">
        <f>IF($A6="","",0)</f>
        <v/>
      </c>
      <c r="AF6" s="36" t="inlineStr">
        <is>
          <t>Owner’s email and SK-03 in the job folder</t>
        </is>
      </c>
      <c r="AG6" s="36" t="n"/>
    </row>
    <row r="7" ht="64" customHeight="1">
      <c r="A7" s="34" t="inlineStr">
        <is>
          <t>CO-002</t>
        </is>
      </c>
      <c r="B7" s="35">
        <f>TODAY()-61</f>
        <v/>
      </c>
      <c r="C7" s="36" t="inlineStr">
        <is>
          <t>Rock at grid C-4 footings</t>
        </is>
      </c>
      <c r="D7" s="36" t="inlineStr">
        <is>
          <t>Excavate and remove rock found at footings C-4 to C-7, below the depth shown in the geotechnical report. Hourly crew and breaker; quantities on daily T&amp;M tickets.</t>
        </is>
      </c>
      <c r="E7" s="34" t="inlineStr">
        <is>
          <t>Unforeseen condition</t>
        </is>
      </c>
      <c r="F7" s="36" t="inlineStr">
        <is>
          <t>Sam Okafor, architect</t>
        </is>
      </c>
      <c r="G7" s="34" t="inlineStr">
        <is>
          <t>Signed directive</t>
        </is>
      </c>
      <c r="H7" s="35" t="n"/>
      <c r="I7" s="34" t="inlineStr">
        <is>
          <t>Time and materials</t>
        </is>
      </c>
      <c r="J7" s="37" t="n">
        <v>11800</v>
      </c>
      <c r="K7" s="37" t="n">
        <v>0</v>
      </c>
      <c r="L7" s="37" t="n">
        <v>9400</v>
      </c>
      <c r="M7" s="37" t="n">
        <v>6200</v>
      </c>
      <c r="N7" s="37" t="n">
        <v>1900</v>
      </c>
      <c r="O7" s="38">
        <f>IF($A7="","",SUM(J7:N7))</f>
        <v/>
      </c>
      <c r="P7" s="38">
        <f>IF($A7="","",ROUND((N(J7)+N(K7)+N(L7)+N(N7))*'Contract'!$B$12,2))</f>
        <v/>
      </c>
      <c r="Q7" s="38">
        <f>IF($A7="","",ROUND(N(M7)*'Contract'!$B$13,2))</f>
        <v/>
      </c>
      <c r="R7" s="38">
        <f>IF($A7="","",ROUND((O7+P7+Q7)*'Contract'!$B$14,2))</f>
        <v/>
      </c>
      <c r="S7" s="38">
        <f>IF($A7="","",O7+P7+Q7+R7)</f>
        <v/>
      </c>
      <c r="T7" s="37" t="n"/>
      <c r="U7" s="39">
        <f>IF($A7="","",IF(ISNUMBER(T7),T7,S7))</f>
        <v/>
      </c>
      <c r="V7" s="40" t="n">
        <v>6</v>
      </c>
      <c r="W7" s="34" t="inlineStr">
        <is>
          <t>Directive: price open</t>
        </is>
      </c>
      <c r="X7" s="35">
        <f>TODAY()-52</f>
        <v/>
      </c>
      <c r="Y7" s="35" t="n"/>
      <c r="Z7" s="34" t="n"/>
      <c r="AA7" s="35">
        <f>TODAY()-60</f>
        <v/>
      </c>
      <c r="AB7" s="41">
        <f>IF(OR($A7="",AND(W7&lt;&gt;"Submitted",W7&lt;&gt;"Directive: price open",W7&lt;&gt;"Pricing")),"",'Contract'!$B$16-IF(ISNUMBER(X7),X7,IF(ISNUMBER(H7),H7,B7)))</f>
        <v/>
      </c>
      <c r="AC7" s="42">
        <f>IF($A7="","",IF(W7="","Set a status",IF(W7="Approved",IF(Y7="","Approved: enter the date it was signed","Signed"),IF(OR(W7="Rejected",W7="Void"),W7,IF(AND(G7="Verbal",H7=""),"Verbal only: confirm it in writing today",IF(AND(ISNUMBER(AA7),W7="Pricing"),"Work started, not yet priced",IF(AND(ISNUMBER(AA7),W7="Submitted"),"Work started, not signed",IF(W7="Directive: price open","Going ahead under a directive: agree the price",IF(AND(ISNUMBER(AB7),AB7&gt;'Contract'!$B$15),"Chase: waiting "&amp;AB7&amp;" days",IF(W7="Pricing","Price it and send it","Waiting for signature"))))))))))</f>
        <v/>
      </c>
      <c r="AD7" s="38">
        <f>IF($A7="","",SUMIFS(U$6:U6,W$6:W6,"Approved"))</f>
        <v/>
      </c>
      <c r="AE7" s="41">
        <f>IF($A7="","",SUMIFS(V$6:V6,W$6:W6,"Approved"))</f>
        <v/>
      </c>
      <c r="AF7" s="36" t="inlineStr">
        <is>
          <t>Signed T&amp;M tickets daily; photos in job folder</t>
        </is>
      </c>
      <c r="AG7" s="36" t="inlineStr">
        <is>
          <t>Owner disputes the breaker hours. Undisputed part billed.</t>
        </is>
      </c>
    </row>
    <row r="8" ht="64" customHeight="1">
      <c r="A8" s="34" t="inlineStr">
        <is>
          <t>CO-003</t>
        </is>
      </c>
      <c r="B8" s="35">
        <f>TODAY()-33</f>
        <v/>
      </c>
      <c r="C8" s="36" t="inlineStr">
        <is>
          <t>Storefront revision per ASI-04</t>
        </is>
      </c>
      <c r="D8" s="36" t="inlineStr">
        <is>
          <t>Revise the lobby storefront to the layout in ASI-04: two added mullions, one door relocated, new hardware set 7.</t>
        </is>
      </c>
      <c r="E8" s="34" t="inlineStr">
        <is>
          <t>Design change</t>
        </is>
      </c>
      <c r="F8" s="36" t="inlineStr">
        <is>
          <t>Sam Okafor, architect</t>
        </is>
      </c>
      <c r="G8" s="34" t="inlineStr">
        <is>
          <t>Written request</t>
        </is>
      </c>
      <c r="H8" s="35" t="n"/>
      <c r="I8" s="34" t="inlineStr">
        <is>
          <t>Lump sum</t>
        </is>
      </c>
      <c r="J8" s="37" t="n">
        <v>1800</v>
      </c>
      <c r="K8" s="37" t="n">
        <v>0</v>
      </c>
      <c r="L8" s="37" t="n">
        <v>0</v>
      </c>
      <c r="M8" s="37" t="n">
        <v>14900</v>
      </c>
      <c r="N8" s="37" t="n">
        <v>0</v>
      </c>
      <c r="O8" s="38">
        <f>IF($A8="","",SUM(J8:N8))</f>
        <v/>
      </c>
      <c r="P8" s="38">
        <f>IF($A8="","",ROUND((N(J8)+N(K8)+N(L8)+N(N8))*'Contract'!$B$12,2))</f>
        <v/>
      </c>
      <c r="Q8" s="38">
        <f>IF($A8="","",ROUND(N(M8)*'Contract'!$B$13,2))</f>
        <v/>
      </c>
      <c r="R8" s="38">
        <f>IF($A8="","",ROUND((O8+P8+Q8)*'Contract'!$B$14,2))</f>
        <v/>
      </c>
      <c r="S8" s="38">
        <f>IF($A8="","",O8+P8+Q8+R8)</f>
        <v/>
      </c>
      <c r="T8" s="37" t="n"/>
      <c r="U8" s="39">
        <f>IF($A8="","",IF(ISNUMBER(T8),T8,S8))</f>
        <v/>
      </c>
      <c r="V8" s="40" t="n">
        <v>5</v>
      </c>
      <c r="W8" s="34" t="inlineStr">
        <is>
          <t>Submitted</t>
        </is>
      </c>
      <c r="X8" s="35">
        <f>TODAY()-26</f>
        <v/>
      </c>
      <c r="Y8" s="35" t="n"/>
      <c r="Z8" s="34" t="n"/>
      <c r="AA8" s="35" t="n"/>
      <c r="AB8" s="41">
        <f>IF(OR($A8="",AND(W8&lt;&gt;"Submitted",W8&lt;&gt;"Directive: price open",W8&lt;&gt;"Pricing")),"",'Contract'!$B$16-IF(ISNUMBER(X8),X8,IF(ISNUMBER(H8),H8,B8)))</f>
        <v/>
      </c>
      <c r="AC8" s="42">
        <f>IF($A8="","",IF(W8="","Set a status",IF(W8="Approved",IF(Y8="","Approved: enter the date it was signed","Signed"),IF(OR(W8="Rejected",W8="Void"),W8,IF(AND(G8="Verbal",H8=""),"Verbal only: confirm it in writing today",IF(AND(ISNUMBER(AA8),W8="Pricing"),"Work started, not yet priced",IF(AND(ISNUMBER(AA8),W8="Submitted"),"Work started, not signed",IF(W8="Directive: price open","Going ahead under a directive: agree the price",IF(AND(ISNUMBER(AB8),AB8&gt;'Contract'!$B$15),"Chase: waiting "&amp;AB8&amp;" days",IF(W8="Pricing","Price it and send it","Waiting for signature"))))))))))</f>
        <v/>
      </c>
      <c r="AD8" s="38">
        <f>IF($A8="","",SUMIFS(U$6:U7,W$6:W7,"Approved"))</f>
        <v/>
      </c>
      <c r="AE8" s="41">
        <f>IF($A8="","",SUMIFS(V$6:V7,W$6:W7,"Approved"))</f>
        <v/>
      </c>
      <c r="AF8" s="36" t="inlineStr">
        <is>
          <t>ASI-04; glazing sub’s quote</t>
        </is>
      </c>
      <c r="AG8" s="36" t="n"/>
    </row>
    <row r="9" ht="64" customHeight="1">
      <c r="A9" s="34" t="inlineStr">
        <is>
          <t>CO-004</t>
        </is>
      </c>
      <c r="B9" s="35">
        <f>TODAY()-40</f>
        <v/>
      </c>
      <c r="C9" s="36" t="inlineStr">
        <is>
          <t>Delete courtyard irrigation</t>
        </is>
      </c>
      <c r="D9" s="36" t="inlineStr">
        <is>
          <t>Owner deletes the courtyard drip irrigation system. Credit for labor and material not installed.</t>
        </is>
      </c>
      <c r="E9" s="34" t="inlineStr">
        <is>
          <t>Credit</t>
        </is>
      </c>
      <c r="F9" s="36" t="inlineStr">
        <is>
          <t>Dana Ruiz, owner’s rep</t>
        </is>
      </c>
      <c r="G9" s="34" t="inlineStr">
        <is>
          <t>Written request</t>
        </is>
      </c>
      <c r="H9" s="35" t="n"/>
      <c r="I9" s="34" t="inlineStr">
        <is>
          <t>Lump sum</t>
        </is>
      </c>
      <c r="J9" s="37" t="n">
        <v>-2600</v>
      </c>
      <c r="K9" s="37" t="n">
        <v>-3900</v>
      </c>
      <c r="L9" s="37" t="n">
        <v>0</v>
      </c>
      <c r="M9" s="37" t="n">
        <v>0</v>
      </c>
      <c r="N9" s="37" t="n">
        <v>0</v>
      </c>
      <c r="O9" s="38">
        <f>IF($A9="","",SUM(J9:N9))</f>
        <v/>
      </c>
      <c r="P9" s="38">
        <f>IF($A9="","",ROUND((N(J9)+N(K9)+N(L9)+N(N9))*'Contract'!$B$12,2))</f>
        <v/>
      </c>
      <c r="Q9" s="38">
        <f>IF($A9="","",ROUND(N(M9)*'Contract'!$B$13,2))</f>
        <v/>
      </c>
      <c r="R9" s="38">
        <f>IF($A9="","",ROUND((O9+P9+Q9)*'Contract'!$B$14,2))</f>
        <v/>
      </c>
      <c r="S9" s="38">
        <f>IF($A9="","",O9+P9+Q9+R9)</f>
        <v/>
      </c>
      <c r="T9" s="37" t="n">
        <v>-6800</v>
      </c>
      <c r="U9" s="39">
        <f>IF($A9="","",IF(ISNUMBER(T9),T9,S9))</f>
        <v/>
      </c>
      <c r="V9" s="40" t="n">
        <v>0</v>
      </c>
      <c r="W9" s="34" t="inlineStr">
        <is>
          <t>Approved</t>
        </is>
      </c>
      <c r="X9" s="35">
        <f>TODAY()-37</f>
        <v/>
      </c>
      <c r="Y9" s="35">
        <f>TODAY()-30</f>
        <v/>
      </c>
      <c r="Z9" s="34" t="inlineStr">
        <is>
          <t>Dana Ruiz</t>
        </is>
      </c>
      <c r="AA9" s="35" t="n"/>
      <c r="AB9" s="41">
        <f>IF(OR($A9="",AND(W9&lt;&gt;"Submitted",W9&lt;&gt;"Directive: price open",W9&lt;&gt;"Pricing")),"",'Contract'!$B$16-IF(ISNUMBER(X9),X9,IF(ISNUMBER(H9),H9,B9)))</f>
        <v/>
      </c>
      <c r="AC9" s="42">
        <f>IF($A9="","",IF(W9="","Set a status",IF(W9="Approved",IF(Y9="","Approved: enter the date it was signed","Signed"),IF(OR(W9="Rejected",W9="Void"),W9,IF(AND(G9="Verbal",H9=""),"Verbal only: confirm it in writing today",IF(AND(ISNUMBER(AA9),W9="Pricing"),"Work started, not yet priced",IF(AND(ISNUMBER(AA9),W9="Submitted"),"Work started, not signed",IF(W9="Directive: price open","Going ahead under a directive: agree the price",IF(AND(ISNUMBER(AB9),AB9&gt;'Contract'!$B$15),"Chase: waiting "&amp;AB9&amp;" days",IF(W9="Pricing","Price it and send it","Waiting for signature"))))))))))</f>
        <v/>
      </c>
      <c r="AD9" s="38">
        <f>IF($A9="","",SUMIFS(U$6:U8,W$6:W8,"Approved"))</f>
        <v/>
      </c>
      <c r="AE9" s="41">
        <f>IF($A9="","",SUMIFS(V$6:V8,W$6:W8,"Approved"))</f>
        <v/>
      </c>
      <c r="AF9" s="36" t="inlineStr">
        <is>
          <t>Owner email; irrigation sub credit letter</t>
        </is>
      </c>
      <c r="AG9" s="36" t="inlineStr">
        <is>
          <t>Agreed credit includes markup returned on the deleted work.</t>
        </is>
      </c>
    </row>
    <row r="10" ht="64" customHeight="1">
      <c r="A10" s="34" t="inlineStr">
        <is>
          <t>CO-005</t>
        </is>
      </c>
      <c r="B10" s="35">
        <f>TODAY()-9</f>
        <v/>
      </c>
      <c r="C10" s="36" t="inlineStr">
        <is>
          <t>Added fire blocking, level 3</t>
        </is>
      </c>
      <c r="D10" s="36" t="inlineStr">
        <is>
          <t>Add fire blocking at level 3 corridor soffits as directed by the building inspector at the framing inspection.</t>
        </is>
      </c>
      <c r="E10" s="34" t="inlineStr">
        <is>
          <t>Code or inspector</t>
        </is>
      </c>
      <c r="F10" s="36" t="inlineStr">
        <is>
          <t>Lee Park, superintendent (GC)</t>
        </is>
      </c>
      <c r="G10" s="34" t="inlineStr">
        <is>
          <t>Verbal</t>
        </is>
      </c>
      <c r="H10" s="35">
        <f>TODAY()-9</f>
        <v/>
      </c>
      <c r="I10" s="34" t="inlineStr">
        <is>
          <t>Time and materials</t>
        </is>
      </c>
      <c r="J10" s="37" t="n">
        <v>2900</v>
      </c>
      <c r="K10" s="37" t="n">
        <v>1100</v>
      </c>
      <c r="L10" s="37" t="n">
        <v>0</v>
      </c>
      <c r="M10" s="37" t="n">
        <v>0</v>
      </c>
      <c r="N10" s="37" t="n">
        <v>0</v>
      </c>
      <c r="O10" s="38">
        <f>IF($A10="","",SUM(J10:N10))</f>
        <v/>
      </c>
      <c r="P10" s="38">
        <f>IF($A10="","",ROUND((N(J10)+N(K10)+N(L10)+N(N10))*'Contract'!$B$12,2))</f>
        <v/>
      </c>
      <c r="Q10" s="38">
        <f>IF($A10="","",ROUND(N(M10)*'Contract'!$B$13,2))</f>
        <v/>
      </c>
      <c r="R10" s="38">
        <f>IF($A10="","",ROUND((O10+P10+Q10)*'Contract'!$B$14,2))</f>
        <v/>
      </c>
      <c r="S10" s="38">
        <f>IF($A10="","",O10+P10+Q10+R10)</f>
        <v/>
      </c>
      <c r="T10" s="37" t="n"/>
      <c r="U10" s="39">
        <f>IF($A10="","",IF(ISNUMBER(T10),T10,S10))</f>
        <v/>
      </c>
      <c r="V10" s="40" t="n">
        <v>0</v>
      </c>
      <c r="W10" s="34" t="inlineStr">
        <is>
          <t>Pricing</t>
        </is>
      </c>
      <c r="X10" s="35" t="n"/>
      <c r="Y10" s="35" t="n"/>
      <c r="Z10" s="34" t="n"/>
      <c r="AA10" s="35">
        <f>TODAY()-8</f>
        <v/>
      </c>
      <c r="AB10" s="41">
        <f>IF(OR($A10="",AND(W10&lt;&gt;"Submitted",W10&lt;&gt;"Directive: price open",W10&lt;&gt;"Pricing")),"",'Contract'!$B$16-IF(ISNUMBER(X10),X10,IF(ISNUMBER(H10),H10,B10)))</f>
        <v/>
      </c>
      <c r="AC10" s="42">
        <f>IF($A10="","",IF(W10="","Set a status",IF(W10="Approved",IF(Y10="","Approved: enter the date it was signed","Signed"),IF(OR(W10="Rejected",W10="Void"),W10,IF(AND(G10="Verbal",H10=""),"Verbal only: confirm it in writing today",IF(AND(ISNUMBER(AA10),W10="Pricing"),"Work started, not yet priced",IF(AND(ISNUMBER(AA10),W10="Submitted"),"Work started, not signed",IF(W10="Directive: price open","Going ahead under a directive: agree the price",IF(AND(ISNUMBER(AB10),AB10&gt;'Contract'!$B$15),"Chase: waiting "&amp;AB10&amp;" days",IF(W10="Pricing","Price it and send it","Waiting for signature"))))))))))</f>
        <v/>
      </c>
      <c r="AD10" s="38">
        <f>IF($A10="","",SUMIFS(U$6:U9,W$6:W9,"Approved"))</f>
        <v/>
      </c>
      <c r="AE10" s="41">
        <f>IF($A10="","",SUMIFS(V$6:V9,W$6:W9,"Approved"))</f>
        <v/>
      </c>
      <c r="AF10" s="36" t="inlineStr">
        <is>
          <t>Inspection correction notice; confirming email sent same day</t>
        </is>
      </c>
      <c r="AG10" s="36" t="n"/>
    </row>
    <row r="11" ht="64" customHeight="1">
      <c r="A11" s="34" t="inlineStr">
        <is>
          <t>CO-006</t>
        </is>
      </c>
      <c r="B11" s="35">
        <f>TODAY()-70</f>
        <v/>
      </c>
      <c r="C11" s="36" t="inlineStr">
        <is>
          <t>Lobby tile upgrade</t>
        </is>
      </c>
      <c r="D11" s="36" t="inlineStr">
        <is>
          <t>Upgrade lobby floor tile from the specified porcelain to the owner-selected stone. Price includes the material difference and added setting labor.</t>
        </is>
      </c>
      <c r="E11" s="34" t="inlineStr">
        <is>
          <t>Owner request</t>
        </is>
      </c>
      <c r="F11" s="36" t="inlineStr">
        <is>
          <t>Dana Ruiz, owner’s rep</t>
        </is>
      </c>
      <c r="G11" s="34" t="inlineStr">
        <is>
          <t>Written request</t>
        </is>
      </c>
      <c r="H11" s="35" t="n"/>
      <c r="I11" s="34" t="inlineStr">
        <is>
          <t>Lump sum</t>
        </is>
      </c>
      <c r="J11" s="37" t="n">
        <v>3300</v>
      </c>
      <c r="K11" s="37" t="n">
        <v>12700</v>
      </c>
      <c r="L11" s="37" t="n">
        <v>0</v>
      </c>
      <c r="M11" s="37" t="n">
        <v>0</v>
      </c>
      <c r="N11" s="37" t="n">
        <v>0</v>
      </c>
      <c r="O11" s="38">
        <f>IF($A11="","",SUM(J11:N11))</f>
        <v/>
      </c>
      <c r="P11" s="38">
        <f>IF($A11="","",ROUND((N(J11)+N(K11)+N(L11)+N(N11))*'Contract'!$B$12,2))</f>
        <v/>
      </c>
      <c r="Q11" s="38">
        <f>IF($A11="","",ROUND(N(M11)*'Contract'!$B$13,2))</f>
        <v/>
      </c>
      <c r="R11" s="38">
        <f>IF($A11="","",ROUND((O11+P11+Q11)*'Contract'!$B$14,2))</f>
        <v/>
      </c>
      <c r="S11" s="38">
        <f>IF($A11="","",O11+P11+Q11+R11)</f>
        <v/>
      </c>
      <c r="T11" s="37" t="n"/>
      <c r="U11" s="39">
        <f>IF($A11="","",IF(ISNUMBER(T11),T11,S11))</f>
        <v/>
      </c>
      <c r="V11" s="40" t="n">
        <v>4</v>
      </c>
      <c r="W11" s="34" t="inlineStr">
        <is>
          <t>Rejected</t>
        </is>
      </c>
      <c r="X11" s="35">
        <f>TODAY()-66</f>
        <v/>
      </c>
      <c r="Y11" s="35" t="n"/>
      <c r="Z11" s="34" t="n"/>
      <c r="AA11" s="35" t="n"/>
      <c r="AB11" s="41">
        <f>IF(OR($A11="",AND(W11&lt;&gt;"Submitted",W11&lt;&gt;"Directive: price open",W11&lt;&gt;"Pricing")),"",'Contract'!$B$16-IF(ISNUMBER(X11),X11,IF(ISNUMBER(H11),H11,B11)))</f>
        <v/>
      </c>
      <c r="AC11" s="42">
        <f>IF($A11="","",IF(W11="","Set a status",IF(W11="Approved",IF(Y11="","Approved: enter the date it was signed","Signed"),IF(OR(W11="Rejected",W11="Void"),W11,IF(AND(G11="Verbal",H11=""),"Verbal only: confirm it in writing today",IF(AND(ISNUMBER(AA11),W11="Pricing"),"Work started, not yet priced",IF(AND(ISNUMBER(AA11),W11="Submitted"),"Work started, not signed",IF(W11="Directive: price open","Going ahead under a directive: agree the price",IF(AND(ISNUMBER(AB11),AB11&gt;'Contract'!$B$15),"Chase: waiting "&amp;AB11&amp;" days",IF(W11="Pricing","Price it and send it","Waiting for signature"))))))))))</f>
        <v/>
      </c>
      <c r="AD11" s="38">
        <f>IF($A11="","",SUMIFS(U$6:U10,W$6:W10,"Approved"))</f>
        <v/>
      </c>
      <c r="AE11" s="41">
        <f>IF($A11="","",SUMIFS(V$6:V10,W$6:W10,"Approved"))</f>
        <v/>
      </c>
      <c r="AF11" s="36" t="inlineStr">
        <is>
          <t>Owner’s email declining it</t>
        </is>
      </c>
      <c r="AG11" s="36" t="inlineStr">
        <is>
          <t>Owner kept the specified tile.</t>
        </is>
      </c>
    </row>
    <row r="12">
      <c r="A12" s="34" t="n"/>
      <c r="B12" s="35" t="n"/>
      <c r="C12" s="36" t="n"/>
      <c r="D12" s="36" t="n"/>
      <c r="E12" s="34" t="n"/>
      <c r="F12" s="36" t="n"/>
      <c r="G12" s="34" t="n"/>
      <c r="H12" s="35" t="n"/>
      <c r="I12" s="34" t="n"/>
      <c r="J12" s="37" t="n"/>
      <c r="K12" s="37" t="n"/>
      <c r="L12" s="37" t="n"/>
      <c r="M12" s="37" t="n"/>
      <c r="N12" s="37" t="n"/>
      <c r="O12" s="38">
        <f>IF($A12="","",SUM(J12:N12))</f>
        <v/>
      </c>
      <c r="P12" s="38">
        <f>IF($A12="","",ROUND((N(J12)+N(K12)+N(L12)+N(N12))*'Contract'!$B$12,2))</f>
        <v/>
      </c>
      <c r="Q12" s="38">
        <f>IF($A12="","",ROUND(N(M12)*'Contract'!$B$13,2))</f>
        <v/>
      </c>
      <c r="R12" s="38">
        <f>IF($A12="","",ROUND((O12+P12+Q12)*'Contract'!$B$14,2))</f>
        <v/>
      </c>
      <c r="S12" s="38">
        <f>IF($A12="","",O12+P12+Q12+R12)</f>
        <v/>
      </c>
      <c r="T12" s="37" t="n"/>
      <c r="U12" s="39">
        <f>IF($A12="","",IF(ISNUMBER(T12),T12,S12))</f>
        <v/>
      </c>
      <c r="V12" s="40" t="n"/>
      <c r="W12" s="34" t="n"/>
      <c r="X12" s="35" t="n"/>
      <c r="Y12" s="35" t="n"/>
      <c r="Z12" s="34" t="n"/>
      <c r="AA12" s="35" t="n"/>
      <c r="AB12" s="41">
        <f>IF(OR($A12="",AND(W12&lt;&gt;"Submitted",W12&lt;&gt;"Directive: price open",W12&lt;&gt;"Pricing")),"",'Contract'!$B$16-IF(ISNUMBER(X12),X12,IF(ISNUMBER(H12),H12,B12)))</f>
        <v/>
      </c>
      <c r="AC12" s="42">
        <f>IF($A12="","",IF(W12="","Set a status",IF(W12="Approved",IF(Y12="","Approved: enter the date it was signed","Signed"),IF(OR(W12="Rejected",W12="Void"),W12,IF(AND(G12="Verbal",H12=""),"Verbal only: confirm it in writing today",IF(AND(ISNUMBER(AA12),W12="Pricing"),"Work started, not yet priced",IF(AND(ISNUMBER(AA12),W12="Submitted"),"Work started, not signed",IF(W12="Directive: price open","Going ahead under a directive: agree the price",IF(AND(ISNUMBER(AB12),AB12&gt;'Contract'!$B$15),"Chase: waiting "&amp;AB12&amp;" days",IF(W12="Pricing","Price it and send it","Waiting for signature"))))))))))</f>
        <v/>
      </c>
      <c r="AD12" s="38">
        <f>IF($A12="","",SUMIFS(U$6:U11,W$6:W11,"Approved"))</f>
        <v/>
      </c>
      <c r="AE12" s="41">
        <f>IF($A12="","",SUMIFS(V$6:V11,W$6:W11,"Approved"))</f>
        <v/>
      </c>
      <c r="AF12" s="36" t="n"/>
      <c r="AG12" s="36" t="n"/>
    </row>
    <row r="13">
      <c r="A13" s="34" t="n"/>
      <c r="B13" s="35" t="n"/>
      <c r="C13" s="36" t="n"/>
      <c r="D13" s="36" t="n"/>
      <c r="E13" s="34" t="n"/>
      <c r="F13" s="36" t="n"/>
      <c r="G13" s="34" t="n"/>
      <c r="H13" s="35" t="n"/>
      <c r="I13" s="34" t="n"/>
      <c r="J13" s="37" t="n"/>
      <c r="K13" s="37" t="n"/>
      <c r="L13" s="37" t="n"/>
      <c r="M13" s="37" t="n"/>
      <c r="N13" s="37" t="n"/>
      <c r="O13" s="38">
        <f>IF($A13="","",SUM(J13:N13))</f>
        <v/>
      </c>
      <c r="P13" s="38">
        <f>IF($A13="","",ROUND((N(J13)+N(K13)+N(L13)+N(N13))*'Contract'!$B$12,2))</f>
        <v/>
      </c>
      <c r="Q13" s="38">
        <f>IF($A13="","",ROUND(N(M13)*'Contract'!$B$13,2))</f>
        <v/>
      </c>
      <c r="R13" s="38">
        <f>IF($A13="","",ROUND((O13+P13+Q13)*'Contract'!$B$14,2))</f>
        <v/>
      </c>
      <c r="S13" s="38">
        <f>IF($A13="","",O13+P13+Q13+R13)</f>
        <v/>
      </c>
      <c r="T13" s="37" t="n"/>
      <c r="U13" s="39">
        <f>IF($A13="","",IF(ISNUMBER(T13),T13,S13))</f>
        <v/>
      </c>
      <c r="V13" s="40" t="n"/>
      <c r="W13" s="34" t="n"/>
      <c r="X13" s="35" t="n"/>
      <c r="Y13" s="35" t="n"/>
      <c r="Z13" s="34" t="n"/>
      <c r="AA13" s="35" t="n"/>
      <c r="AB13" s="41">
        <f>IF(OR($A13="",AND(W13&lt;&gt;"Submitted",W13&lt;&gt;"Directive: price open",W13&lt;&gt;"Pricing")),"",'Contract'!$B$16-IF(ISNUMBER(X13),X13,IF(ISNUMBER(H13),H13,B13)))</f>
        <v/>
      </c>
      <c r="AC13" s="42">
        <f>IF($A13="","",IF(W13="","Set a status",IF(W13="Approved",IF(Y13="","Approved: enter the date it was signed","Signed"),IF(OR(W13="Rejected",W13="Void"),W13,IF(AND(G13="Verbal",H13=""),"Verbal only: confirm it in writing today",IF(AND(ISNUMBER(AA13),W13="Pricing"),"Work started, not yet priced",IF(AND(ISNUMBER(AA13),W13="Submitted"),"Work started, not signed",IF(W13="Directive: price open","Going ahead under a directive: agree the price",IF(AND(ISNUMBER(AB13),AB13&gt;'Contract'!$B$15),"Chase: waiting "&amp;AB13&amp;" days",IF(W13="Pricing","Price it and send it","Waiting for signature"))))))))))</f>
        <v/>
      </c>
      <c r="AD13" s="38">
        <f>IF($A13="","",SUMIFS(U$6:U12,W$6:W12,"Approved"))</f>
        <v/>
      </c>
      <c r="AE13" s="41">
        <f>IF($A13="","",SUMIFS(V$6:V12,W$6:W12,"Approved"))</f>
        <v/>
      </c>
      <c r="AF13" s="36" t="n"/>
      <c r="AG13" s="36" t="n"/>
    </row>
    <row r="14">
      <c r="A14" s="34" t="n"/>
      <c r="B14" s="35" t="n"/>
      <c r="C14" s="36" t="n"/>
      <c r="D14" s="36" t="n"/>
      <c r="E14" s="34" t="n"/>
      <c r="F14" s="36" t="n"/>
      <c r="G14" s="34" t="n"/>
      <c r="H14" s="35" t="n"/>
      <c r="I14" s="34" t="n"/>
      <c r="J14" s="37" t="n"/>
      <c r="K14" s="37" t="n"/>
      <c r="L14" s="37" t="n"/>
      <c r="M14" s="37" t="n"/>
      <c r="N14" s="37" t="n"/>
      <c r="O14" s="38">
        <f>IF($A14="","",SUM(J14:N14))</f>
        <v/>
      </c>
      <c r="P14" s="38">
        <f>IF($A14="","",ROUND((N(J14)+N(K14)+N(L14)+N(N14))*'Contract'!$B$12,2))</f>
        <v/>
      </c>
      <c r="Q14" s="38">
        <f>IF($A14="","",ROUND(N(M14)*'Contract'!$B$13,2))</f>
        <v/>
      </c>
      <c r="R14" s="38">
        <f>IF($A14="","",ROUND((O14+P14+Q14)*'Contract'!$B$14,2))</f>
        <v/>
      </c>
      <c r="S14" s="38">
        <f>IF($A14="","",O14+P14+Q14+R14)</f>
        <v/>
      </c>
      <c r="T14" s="37" t="n"/>
      <c r="U14" s="39">
        <f>IF($A14="","",IF(ISNUMBER(T14),T14,S14))</f>
        <v/>
      </c>
      <c r="V14" s="40" t="n"/>
      <c r="W14" s="34" t="n"/>
      <c r="X14" s="35" t="n"/>
      <c r="Y14" s="35" t="n"/>
      <c r="Z14" s="34" t="n"/>
      <c r="AA14" s="35" t="n"/>
      <c r="AB14" s="41">
        <f>IF(OR($A14="",AND(W14&lt;&gt;"Submitted",W14&lt;&gt;"Directive: price open",W14&lt;&gt;"Pricing")),"",'Contract'!$B$16-IF(ISNUMBER(X14),X14,IF(ISNUMBER(H14),H14,B14)))</f>
        <v/>
      </c>
      <c r="AC14" s="42">
        <f>IF($A14="","",IF(W14="","Set a status",IF(W14="Approved",IF(Y14="","Approved: enter the date it was signed","Signed"),IF(OR(W14="Rejected",W14="Void"),W14,IF(AND(G14="Verbal",H14=""),"Verbal only: confirm it in writing today",IF(AND(ISNUMBER(AA14),W14="Pricing"),"Work started, not yet priced",IF(AND(ISNUMBER(AA14),W14="Submitted"),"Work started, not signed",IF(W14="Directive: price open","Going ahead under a directive: agree the price",IF(AND(ISNUMBER(AB14),AB14&gt;'Contract'!$B$15),"Chase: waiting "&amp;AB14&amp;" days",IF(W14="Pricing","Price it and send it","Waiting for signature"))))))))))</f>
        <v/>
      </c>
      <c r="AD14" s="38">
        <f>IF($A14="","",SUMIFS(U$6:U13,W$6:W13,"Approved"))</f>
        <v/>
      </c>
      <c r="AE14" s="41">
        <f>IF($A14="","",SUMIFS(V$6:V13,W$6:W13,"Approved"))</f>
        <v/>
      </c>
      <c r="AF14" s="36" t="n"/>
      <c r="AG14" s="36" t="n"/>
    </row>
    <row r="15">
      <c r="A15" s="34" t="n"/>
      <c r="B15" s="35" t="n"/>
      <c r="C15" s="36" t="n"/>
      <c r="D15" s="36" t="n"/>
      <c r="E15" s="34" t="n"/>
      <c r="F15" s="36" t="n"/>
      <c r="G15" s="34" t="n"/>
      <c r="H15" s="35" t="n"/>
      <c r="I15" s="34" t="n"/>
      <c r="J15" s="37" t="n"/>
      <c r="K15" s="37" t="n"/>
      <c r="L15" s="37" t="n"/>
      <c r="M15" s="37" t="n"/>
      <c r="N15" s="37" t="n"/>
      <c r="O15" s="38">
        <f>IF($A15="","",SUM(J15:N15))</f>
        <v/>
      </c>
      <c r="P15" s="38">
        <f>IF($A15="","",ROUND((N(J15)+N(K15)+N(L15)+N(N15))*'Contract'!$B$12,2))</f>
        <v/>
      </c>
      <c r="Q15" s="38">
        <f>IF($A15="","",ROUND(N(M15)*'Contract'!$B$13,2))</f>
        <v/>
      </c>
      <c r="R15" s="38">
        <f>IF($A15="","",ROUND((O15+P15+Q15)*'Contract'!$B$14,2))</f>
        <v/>
      </c>
      <c r="S15" s="38">
        <f>IF($A15="","",O15+P15+Q15+R15)</f>
        <v/>
      </c>
      <c r="T15" s="37" t="n"/>
      <c r="U15" s="39">
        <f>IF($A15="","",IF(ISNUMBER(T15),T15,S15))</f>
        <v/>
      </c>
      <c r="V15" s="40" t="n"/>
      <c r="W15" s="34" t="n"/>
      <c r="X15" s="35" t="n"/>
      <c r="Y15" s="35" t="n"/>
      <c r="Z15" s="34" t="n"/>
      <c r="AA15" s="35" t="n"/>
      <c r="AB15" s="41">
        <f>IF(OR($A15="",AND(W15&lt;&gt;"Submitted",W15&lt;&gt;"Directive: price open",W15&lt;&gt;"Pricing")),"",'Contract'!$B$16-IF(ISNUMBER(X15),X15,IF(ISNUMBER(H15),H15,B15)))</f>
        <v/>
      </c>
      <c r="AC15" s="42">
        <f>IF($A15="","",IF(W15="","Set a status",IF(W15="Approved",IF(Y15="","Approved: enter the date it was signed","Signed"),IF(OR(W15="Rejected",W15="Void"),W15,IF(AND(G15="Verbal",H15=""),"Verbal only: confirm it in writing today",IF(AND(ISNUMBER(AA15),W15="Pricing"),"Work started, not yet priced",IF(AND(ISNUMBER(AA15),W15="Submitted"),"Work started, not signed",IF(W15="Directive: price open","Going ahead under a directive: agree the price",IF(AND(ISNUMBER(AB15),AB15&gt;'Contract'!$B$15),"Chase: waiting "&amp;AB15&amp;" days",IF(W15="Pricing","Price it and send it","Waiting for signature"))))))))))</f>
        <v/>
      </c>
      <c r="AD15" s="38">
        <f>IF($A15="","",SUMIFS(U$6:U14,W$6:W14,"Approved"))</f>
        <v/>
      </c>
      <c r="AE15" s="41">
        <f>IF($A15="","",SUMIFS(V$6:V14,W$6:W14,"Approved"))</f>
        <v/>
      </c>
      <c r="AF15" s="36" t="n"/>
      <c r="AG15" s="36" t="n"/>
    </row>
    <row r="16">
      <c r="A16" s="34" t="n"/>
      <c r="B16" s="35" t="n"/>
      <c r="C16" s="36" t="n"/>
      <c r="D16" s="36" t="n"/>
      <c r="E16" s="34" t="n"/>
      <c r="F16" s="36" t="n"/>
      <c r="G16" s="34" t="n"/>
      <c r="H16" s="35" t="n"/>
      <c r="I16" s="34" t="n"/>
      <c r="J16" s="37" t="n"/>
      <c r="K16" s="37" t="n"/>
      <c r="L16" s="37" t="n"/>
      <c r="M16" s="37" t="n"/>
      <c r="N16" s="37" t="n"/>
      <c r="O16" s="38">
        <f>IF($A16="","",SUM(J16:N16))</f>
        <v/>
      </c>
      <c r="P16" s="38">
        <f>IF($A16="","",ROUND((N(J16)+N(K16)+N(L16)+N(N16))*'Contract'!$B$12,2))</f>
        <v/>
      </c>
      <c r="Q16" s="38">
        <f>IF($A16="","",ROUND(N(M16)*'Contract'!$B$13,2))</f>
        <v/>
      </c>
      <c r="R16" s="38">
        <f>IF($A16="","",ROUND((O16+P16+Q16)*'Contract'!$B$14,2))</f>
        <v/>
      </c>
      <c r="S16" s="38">
        <f>IF($A16="","",O16+P16+Q16+R16)</f>
        <v/>
      </c>
      <c r="T16" s="37" t="n"/>
      <c r="U16" s="39">
        <f>IF($A16="","",IF(ISNUMBER(T16),T16,S16))</f>
        <v/>
      </c>
      <c r="V16" s="40" t="n"/>
      <c r="W16" s="34" t="n"/>
      <c r="X16" s="35" t="n"/>
      <c r="Y16" s="35" t="n"/>
      <c r="Z16" s="34" t="n"/>
      <c r="AA16" s="35" t="n"/>
      <c r="AB16" s="41">
        <f>IF(OR($A16="",AND(W16&lt;&gt;"Submitted",W16&lt;&gt;"Directive: price open",W16&lt;&gt;"Pricing")),"",'Contract'!$B$16-IF(ISNUMBER(X16),X16,IF(ISNUMBER(H16),H16,B16)))</f>
        <v/>
      </c>
      <c r="AC16" s="42">
        <f>IF($A16="","",IF(W16="","Set a status",IF(W16="Approved",IF(Y16="","Approved: enter the date it was signed","Signed"),IF(OR(W16="Rejected",W16="Void"),W16,IF(AND(G16="Verbal",H16=""),"Verbal only: confirm it in writing today",IF(AND(ISNUMBER(AA16),W16="Pricing"),"Work started, not yet priced",IF(AND(ISNUMBER(AA16),W16="Submitted"),"Work started, not signed",IF(W16="Directive: price open","Going ahead under a directive: agree the price",IF(AND(ISNUMBER(AB16),AB16&gt;'Contract'!$B$15),"Chase: waiting "&amp;AB16&amp;" days",IF(W16="Pricing","Price it and send it","Waiting for signature"))))))))))</f>
        <v/>
      </c>
      <c r="AD16" s="38">
        <f>IF($A16="","",SUMIFS(U$6:U15,W$6:W15,"Approved"))</f>
        <v/>
      </c>
      <c r="AE16" s="41">
        <f>IF($A16="","",SUMIFS(V$6:V15,W$6:W15,"Approved"))</f>
        <v/>
      </c>
      <c r="AF16" s="36" t="n"/>
      <c r="AG16" s="36" t="n"/>
    </row>
    <row r="17">
      <c r="A17" s="34" t="n"/>
      <c r="B17" s="35" t="n"/>
      <c r="C17" s="36" t="n"/>
      <c r="D17" s="36" t="n"/>
      <c r="E17" s="34" t="n"/>
      <c r="F17" s="36" t="n"/>
      <c r="G17" s="34" t="n"/>
      <c r="H17" s="35" t="n"/>
      <c r="I17" s="34" t="n"/>
      <c r="J17" s="37" t="n"/>
      <c r="K17" s="37" t="n"/>
      <c r="L17" s="37" t="n"/>
      <c r="M17" s="37" t="n"/>
      <c r="N17" s="37" t="n"/>
      <c r="O17" s="38">
        <f>IF($A17="","",SUM(J17:N17))</f>
        <v/>
      </c>
      <c r="P17" s="38">
        <f>IF($A17="","",ROUND((N(J17)+N(K17)+N(L17)+N(N17))*'Contract'!$B$12,2))</f>
        <v/>
      </c>
      <c r="Q17" s="38">
        <f>IF($A17="","",ROUND(N(M17)*'Contract'!$B$13,2))</f>
        <v/>
      </c>
      <c r="R17" s="38">
        <f>IF($A17="","",ROUND((O17+P17+Q17)*'Contract'!$B$14,2))</f>
        <v/>
      </c>
      <c r="S17" s="38">
        <f>IF($A17="","",O17+P17+Q17+R17)</f>
        <v/>
      </c>
      <c r="T17" s="37" t="n"/>
      <c r="U17" s="39">
        <f>IF($A17="","",IF(ISNUMBER(T17),T17,S17))</f>
        <v/>
      </c>
      <c r="V17" s="40" t="n"/>
      <c r="W17" s="34" t="n"/>
      <c r="X17" s="35" t="n"/>
      <c r="Y17" s="35" t="n"/>
      <c r="Z17" s="34" t="n"/>
      <c r="AA17" s="35" t="n"/>
      <c r="AB17" s="41">
        <f>IF(OR($A17="",AND(W17&lt;&gt;"Submitted",W17&lt;&gt;"Directive: price open",W17&lt;&gt;"Pricing")),"",'Contract'!$B$16-IF(ISNUMBER(X17),X17,IF(ISNUMBER(H17),H17,B17)))</f>
        <v/>
      </c>
      <c r="AC17" s="42">
        <f>IF($A17="","",IF(W17="","Set a status",IF(W17="Approved",IF(Y17="","Approved: enter the date it was signed","Signed"),IF(OR(W17="Rejected",W17="Void"),W17,IF(AND(G17="Verbal",H17=""),"Verbal only: confirm it in writing today",IF(AND(ISNUMBER(AA17),W17="Pricing"),"Work started, not yet priced",IF(AND(ISNUMBER(AA17),W17="Submitted"),"Work started, not signed",IF(W17="Directive: price open","Going ahead under a directive: agree the price",IF(AND(ISNUMBER(AB17),AB17&gt;'Contract'!$B$15),"Chase: waiting "&amp;AB17&amp;" days",IF(W17="Pricing","Price it and send it","Waiting for signature"))))))))))</f>
        <v/>
      </c>
      <c r="AD17" s="38">
        <f>IF($A17="","",SUMIFS(U$6:U16,W$6:W16,"Approved"))</f>
        <v/>
      </c>
      <c r="AE17" s="41">
        <f>IF($A17="","",SUMIFS(V$6:V16,W$6:W16,"Approved"))</f>
        <v/>
      </c>
      <c r="AF17" s="36" t="n"/>
      <c r="AG17" s="36" t="n"/>
    </row>
    <row r="18">
      <c r="A18" s="34" t="n"/>
      <c r="B18" s="35" t="n"/>
      <c r="C18" s="36" t="n"/>
      <c r="D18" s="36" t="n"/>
      <c r="E18" s="34" t="n"/>
      <c r="F18" s="36" t="n"/>
      <c r="G18" s="34" t="n"/>
      <c r="H18" s="35" t="n"/>
      <c r="I18" s="34" t="n"/>
      <c r="J18" s="37" t="n"/>
      <c r="K18" s="37" t="n"/>
      <c r="L18" s="37" t="n"/>
      <c r="M18" s="37" t="n"/>
      <c r="N18" s="37" t="n"/>
      <c r="O18" s="38">
        <f>IF($A18="","",SUM(J18:N18))</f>
        <v/>
      </c>
      <c r="P18" s="38">
        <f>IF($A18="","",ROUND((N(J18)+N(K18)+N(L18)+N(N18))*'Contract'!$B$12,2))</f>
        <v/>
      </c>
      <c r="Q18" s="38">
        <f>IF($A18="","",ROUND(N(M18)*'Contract'!$B$13,2))</f>
        <v/>
      </c>
      <c r="R18" s="38">
        <f>IF($A18="","",ROUND((O18+P18+Q18)*'Contract'!$B$14,2))</f>
        <v/>
      </c>
      <c r="S18" s="38">
        <f>IF($A18="","",O18+P18+Q18+R18)</f>
        <v/>
      </c>
      <c r="T18" s="37" t="n"/>
      <c r="U18" s="39">
        <f>IF($A18="","",IF(ISNUMBER(T18),T18,S18))</f>
        <v/>
      </c>
      <c r="V18" s="40" t="n"/>
      <c r="W18" s="34" t="n"/>
      <c r="X18" s="35" t="n"/>
      <c r="Y18" s="35" t="n"/>
      <c r="Z18" s="34" t="n"/>
      <c r="AA18" s="35" t="n"/>
      <c r="AB18" s="41">
        <f>IF(OR($A18="",AND(W18&lt;&gt;"Submitted",W18&lt;&gt;"Directive: price open",W18&lt;&gt;"Pricing")),"",'Contract'!$B$16-IF(ISNUMBER(X18),X18,IF(ISNUMBER(H18),H18,B18)))</f>
        <v/>
      </c>
      <c r="AC18" s="42">
        <f>IF($A18="","",IF(W18="","Set a status",IF(W18="Approved",IF(Y18="","Approved: enter the date it was signed","Signed"),IF(OR(W18="Rejected",W18="Void"),W18,IF(AND(G18="Verbal",H18=""),"Verbal only: confirm it in writing today",IF(AND(ISNUMBER(AA18),W18="Pricing"),"Work started, not yet priced",IF(AND(ISNUMBER(AA18),W18="Submitted"),"Work started, not signed",IF(W18="Directive: price open","Going ahead under a directive: agree the price",IF(AND(ISNUMBER(AB18),AB18&gt;'Contract'!$B$15),"Chase: waiting "&amp;AB18&amp;" days",IF(W18="Pricing","Price it and send it","Waiting for signature"))))))))))</f>
        <v/>
      </c>
      <c r="AD18" s="38">
        <f>IF($A18="","",SUMIFS(U$6:U17,W$6:W17,"Approved"))</f>
        <v/>
      </c>
      <c r="AE18" s="41">
        <f>IF($A18="","",SUMIFS(V$6:V17,W$6:W17,"Approved"))</f>
        <v/>
      </c>
      <c r="AF18" s="36" t="n"/>
      <c r="AG18" s="36" t="n"/>
    </row>
    <row r="19">
      <c r="A19" s="34" t="n"/>
      <c r="B19" s="35" t="n"/>
      <c r="C19" s="36" t="n"/>
      <c r="D19" s="36" t="n"/>
      <c r="E19" s="34" t="n"/>
      <c r="F19" s="36" t="n"/>
      <c r="G19" s="34" t="n"/>
      <c r="H19" s="35" t="n"/>
      <c r="I19" s="34" t="n"/>
      <c r="J19" s="37" t="n"/>
      <c r="K19" s="37" t="n"/>
      <c r="L19" s="37" t="n"/>
      <c r="M19" s="37" t="n"/>
      <c r="N19" s="37" t="n"/>
      <c r="O19" s="38">
        <f>IF($A19="","",SUM(J19:N19))</f>
        <v/>
      </c>
      <c r="P19" s="38">
        <f>IF($A19="","",ROUND((N(J19)+N(K19)+N(L19)+N(N19))*'Contract'!$B$12,2))</f>
        <v/>
      </c>
      <c r="Q19" s="38">
        <f>IF($A19="","",ROUND(N(M19)*'Contract'!$B$13,2))</f>
        <v/>
      </c>
      <c r="R19" s="38">
        <f>IF($A19="","",ROUND((O19+P19+Q19)*'Contract'!$B$14,2))</f>
        <v/>
      </c>
      <c r="S19" s="38">
        <f>IF($A19="","",O19+P19+Q19+R19)</f>
        <v/>
      </c>
      <c r="T19" s="37" t="n"/>
      <c r="U19" s="39">
        <f>IF($A19="","",IF(ISNUMBER(T19),T19,S19))</f>
        <v/>
      </c>
      <c r="V19" s="40" t="n"/>
      <c r="W19" s="34" t="n"/>
      <c r="X19" s="35" t="n"/>
      <c r="Y19" s="35" t="n"/>
      <c r="Z19" s="34" t="n"/>
      <c r="AA19" s="35" t="n"/>
      <c r="AB19" s="41">
        <f>IF(OR($A19="",AND(W19&lt;&gt;"Submitted",W19&lt;&gt;"Directive: price open",W19&lt;&gt;"Pricing")),"",'Contract'!$B$16-IF(ISNUMBER(X19),X19,IF(ISNUMBER(H19),H19,B19)))</f>
        <v/>
      </c>
      <c r="AC19" s="42">
        <f>IF($A19="","",IF(W19="","Set a status",IF(W19="Approved",IF(Y19="","Approved: enter the date it was signed","Signed"),IF(OR(W19="Rejected",W19="Void"),W19,IF(AND(G19="Verbal",H19=""),"Verbal only: confirm it in writing today",IF(AND(ISNUMBER(AA19),W19="Pricing"),"Work started, not yet priced",IF(AND(ISNUMBER(AA19),W19="Submitted"),"Work started, not signed",IF(W19="Directive: price open","Going ahead under a directive: agree the price",IF(AND(ISNUMBER(AB19),AB19&gt;'Contract'!$B$15),"Chase: waiting "&amp;AB19&amp;" days",IF(W19="Pricing","Price it and send it","Waiting for signature"))))))))))</f>
        <v/>
      </c>
      <c r="AD19" s="38">
        <f>IF($A19="","",SUMIFS(U$6:U18,W$6:W18,"Approved"))</f>
        <v/>
      </c>
      <c r="AE19" s="41">
        <f>IF($A19="","",SUMIFS(V$6:V18,W$6:W18,"Approved"))</f>
        <v/>
      </c>
      <c r="AF19" s="36" t="n"/>
      <c r="AG19" s="36" t="n"/>
    </row>
    <row r="20">
      <c r="A20" s="34" t="n"/>
      <c r="B20" s="35" t="n"/>
      <c r="C20" s="36" t="n"/>
      <c r="D20" s="36" t="n"/>
      <c r="E20" s="34" t="n"/>
      <c r="F20" s="36" t="n"/>
      <c r="G20" s="34" t="n"/>
      <c r="H20" s="35" t="n"/>
      <c r="I20" s="34" t="n"/>
      <c r="J20" s="37" t="n"/>
      <c r="K20" s="37" t="n"/>
      <c r="L20" s="37" t="n"/>
      <c r="M20" s="37" t="n"/>
      <c r="N20" s="37" t="n"/>
      <c r="O20" s="38">
        <f>IF($A20="","",SUM(J20:N20))</f>
        <v/>
      </c>
      <c r="P20" s="38">
        <f>IF($A20="","",ROUND((N(J20)+N(K20)+N(L20)+N(N20))*'Contract'!$B$12,2))</f>
        <v/>
      </c>
      <c r="Q20" s="38">
        <f>IF($A20="","",ROUND(N(M20)*'Contract'!$B$13,2))</f>
        <v/>
      </c>
      <c r="R20" s="38">
        <f>IF($A20="","",ROUND((O20+P20+Q20)*'Contract'!$B$14,2))</f>
        <v/>
      </c>
      <c r="S20" s="38">
        <f>IF($A20="","",O20+P20+Q20+R20)</f>
        <v/>
      </c>
      <c r="T20" s="37" t="n"/>
      <c r="U20" s="39">
        <f>IF($A20="","",IF(ISNUMBER(T20),T20,S20))</f>
        <v/>
      </c>
      <c r="V20" s="40" t="n"/>
      <c r="W20" s="34" t="n"/>
      <c r="X20" s="35" t="n"/>
      <c r="Y20" s="35" t="n"/>
      <c r="Z20" s="34" t="n"/>
      <c r="AA20" s="35" t="n"/>
      <c r="AB20" s="41">
        <f>IF(OR($A20="",AND(W20&lt;&gt;"Submitted",W20&lt;&gt;"Directive: price open",W20&lt;&gt;"Pricing")),"",'Contract'!$B$16-IF(ISNUMBER(X20),X20,IF(ISNUMBER(H20),H20,B20)))</f>
        <v/>
      </c>
      <c r="AC20" s="42">
        <f>IF($A20="","",IF(W20="","Set a status",IF(W20="Approved",IF(Y20="","Approved: enter the date it was signed","Signed"),IF(OR(W20="Rejected",W20="Void"),W20,IF(AND(G20="Verbal",H20=""),"Verbal only: confirm it in writing today",IF(AND(ISNUMBER(AA20),W20="Pricing"),"Work started, not yet priced",IF(AND(ISNUMBER(AA20),W20="Submitted"),"Work started, not signed",IF(W20="Directive: price open","Going ahead under a directive: agree the price",IF(AND(ISNUMBER(AB20),AB20&gt;'Contract'!$B$15),"Chase: waiting "&amp;AB20&amp;" days",IF(W20="Pricing","Price it and send it","Waiting for signature"))))))))))</f>
        <v/>
      </c>
      <c r="AD20" s="38">
        <f>IF($A20="","",SUMIFS(U$6:U19,W$6:W19,"Approved"))</f>
        <v/>
      </c>
      <c r="AE20" s="41">
        <f>IF($A20="","",SUMIFS(V$6:V19,W$6:W19,"Approved"))</f>
        <v/>
      </c>
      <c r="AF20" s="36" t="n"/>
      <c r="AG20" s="36" t="n"/>
    </row>
    <row r="21">
      <c r="A21" s="34" t="n"/>
      <c r="B21" s="35" t="n"/>
      <c r="C21" s="36" t="n"/>
      <c r="D21" s="36" t="n"/>
      <c r="E21" s="34" t="n"/>
      <c r="F21" s="36" t="n"/>
      <c r="G21" s="34" t="n"/>
      <c r="H21" s="35" t="n"/>
      <c r="I21" s="34" t="n"/>
      <c r="J21" s="37" t="n"/>
      <c r="K21" s="37" t="n"/>
      <c r="L21" s="37" t="n"/>
      <c r="M21" s="37" t="n"/>
      <c r="N21" s="37" t="n"/>
      <c r="O21" s="38">
        <f>IF($A21="","",SUM(J21:N21))</f>
        <v/>
      </c>
      <c r="P21" s="38">
        <f>IF($A21="","",ROUND((N(J21)+N(K21)+N(L21)+N(N21))*'Contract'!$B$12,2))</f>
        <v/>
      </c>
      <c r="Q21" s="38">
        <f>IF($A21="","",ROUND(N(M21)*'Contract'!$B$13,2))</f>
        <v/>
      </c>
      <c r="R21" s="38">
        <f>IF($A21="","",ROUND((O21+P21+Q21)*'Contract'!$B$14,2))</f>
        <v/>
      </c>
      <c r="S21" s="38">
        <f>IF($A21="","",O21+P21+Q21+R21)</f>
        <v/>
      </c>
      <c r="T21" s="37" t="n"/>
      <c r="U21" s="39">
        <f>IF($A21="","",IF(ISNUMBER(T21),T21,S21))</f>
        <v/>
      </c>
      <c r="V21" s="40" t="n"/>
      <c r="W21" s="34" t="n"/>
      <c r="X21" s="35" t="n"/>
      <c r="Y21" s="35" t="n"/>
      <c r="Z21" s="34" t="n"/>
      <c r="AA21" s="35" t="n"/>
      <c r="AB21" s="41">
        <f>IF(OR($A21="",AND(W21&lt;&gt;"Submitted",W21&lt;&gt;"Directive: price open",W21&lt;&gt;"Pricing")),"",'Contract'!$B$16-IF(ISNUMBER(X21),X21,IF(ISNUMBER(H21),H21,B21)))</f>
        <v/>
      </c>
      <c r="AC21" s="42">
        <f>IF($A21="","",IF(W21="","Set a status",IF(W21="Approved",IF(Y21="","Approved: enter the date it was signed","Signed"),IF(OR(W21="Rejected",W21="Void"),W21,IF(AND(G21="Verbal",H21=""),"Verbal only: confirm it in writing today",IF(AND(ISNUMBER(AA21),W21="Pricing"),"Work started, not yet priced",IF(AND(ISNUMBER(AA21),W21="Submitted"),"Work started, not signed",IF(W21="Directive: price open","Going ahead under a directive: agree the price",IF(AND(ISNUMBER(AB21),AB21&gt;'Contract'!$B$15),"Chase: waiting "&amp;AB21&amp;" days",IF(W21="Pricing","Price it and send it","Waiting for signature"))))))))))</f>
        <v/>
      </c>
      <c r="AD21" s="38">
        <f>IF($A21="","",SUMIFS(U$6:U20,W$6:W20,"Approved"))</f>
        <v/>
      </c>
      <c r="AE21" s="41">
        <f>IF($A21="","",SUMIFS(V$6:V20,W$6:W20,"Approved"))</f>
        <v/>
      </c>
      <c r="AF21" s="36" t="n"/>
      <c r="AG21" s="36" t="n"/>
    </row>
    <row r="22">
      <c r="A22" s="34" t="n"/>
      <c r="B22" s="35" t="n"/>
      <c r="C22" s="36" t="n"/>
      <c r="D22" s="36" t="n"/>
      <c r="E22" s="34" t="n"/>
      <c r="F22" s="36" t="n"/>
      <c r="G22" s="34" t="n"/>
      <c r="H22" s="35" t="n"/>
      <c r="I22" s="34" t="n"/>
      <c r="J22" s="37" t="n"/>
      <c r="K22" s="37" t="n"/>
      <c r="L22" s="37" t="n"/>
      <c r="M22" s="37" t="n"/>
      <c r="N22" s="37" t="n"/>
      <c r="O22" s="38">
        <f>IF($A22="","",SUM(J22:N22))</f>
        <v/>
      </c>
      <c r="P22" s="38">
        <f>IF($A22="","",ROUND((N(J22)+N(K22)+N(L22)+N(N22))*'Contract'!$B$12,2))</f>
        <v/>
      </c>
      <c r="Q22" s="38">
        <f>IF($A22="","",ROUND(N(M22)*'Contract'!$B$13,2))</f>
        <v/>
      </c>
      <c r="R22" s="38">
        <f>IF($A22="","",ROUND((O22+P22+Q22)*'Contract'!$B$14,2))</f>
        <v/>
      </c>
      <c r="S22" s="38">
        <f>IF($A22="","",O22+P22+Q22+R22)</f>
        <v/>
      </c>
      <c r="T22" s="37" t="n"/>
      <c r="U22" s="39">
        <f>IF($A22="","",IF(ISNUMBER(T22),T22,S22))</f>
        <v/>
      </c>
      <c r="V22" s="40" t="n"/>
      <c r="W22" s="34" t="n"/>
      <c r="X22" s="35" t="n"/>
      <c r="Y22" s="35" t="n"/>
      <c r="Z22" s="34" t="n"/>
      <c r="AA22" s="35" t="n"/>
      <c r="AB22" s="41">
        <f>IF(OR($A22="",AND(W22&lt;&gt;"Submitted",W22&lt;&gt;"Directive: price open",W22&lt;&gt;"Pricing")),"",'Contract'!$B$16-IF(ISNUMBER(X22),X22,IF(ISNUMBER(H22),H22,B22)))</f>
        <v/>
      </c>
      <c r="AC22" s="42">
        <f>IF($A22="","",IF(W22="","Set a status",IF(W22="Approved",IF(Y22="","Approved: enter the date it was signed","Signed"),IF(OR(W22="Rejected",W22="Void"),W22,IF(AND(G22="Verbal",H22=""),"Verbal only: confirm it in writing today",IF(AND(ISNUMBER(AA22),W22="Pricing"),"Work started, not yet priced",IF(AND(ISNUMBER(AA22),W22="Submitted"),"Work started, not signed",IF(W22="Directive: price open","Going ahead under a directive: agree the price",IF(AND(ISNUMBER(AB22),AB22&gt;'Contract'!$B$15),"Chase: waiting "&amp;AB22&amp;" days",IF(W22="Pricing","Price it and send it","Waiting for signature"))))))))))</f>
        <v/>
      </c>
      <c r="AD22" s="38">
        <f>IF($A22="","",SUMIFS(U$6:U21,W$6:W21,"Approved"))</f>
        <v/>
      </c>
      <c r="AE22" s="41">
        <f>IF($A22="","",SUMIFS(V$6:V21,W$6:W21,"Approved"))</f>
        <v/>
      </c>
      <c r="AF22" s="36" t="n"/>
      <c r="AG22" s="36" t="n"/>
    </row>
    <row r="23">
      <c r="A23" s="34" t="n"/>
      <c r="B23" s="35" t="n"/>
      <c r="C23" s="36" t="n"/>
      <c r="D23" s="36" t="n"/>
      <c r="E23" s="34" t="n"/>
      <c r="F23" s="36" t="n"/>
      <c r="G23" s="34" t="n"/>
      <c r="H23" s="35" t="n"/>
      <c r="I23" s="34" t="n"/>
      <c r="J23" s="37" t="n"/>
      <c r="K23" s="37" t="n"/>
      <c r="L23" s="37" t="n"/>
      <c r="M23" s="37" t="n"/>
      <c r="N23" s="37" t="n"/>
      <c r="O23" s="38">
        <f>IF($A23="","",SUM(J23:N23))</f>
        <v/>
      </c>
      <c r="P23" s="38">
        <f>IF($A23="","",ROUND((N(J23)+N(K23)+N(L23)+N(N23))*'Contract'!$B$12,2))</f>
        <v/>
      </c>
      <c r="Q23" s="38">
        <f>IF($A23="","",ROUND(N(M23)*'Contract'!$B$13,2))</f>
        <v/>
      </c>
      <c r="R23" s="38">
        <f>IF($A23="","",ROUND((O23+P23+Q23)*'Contract'!$B$14,2))</f>
        <v/>
      </c>
      <c r="S23" s="38">
        <f>IF($A23="","",O23+P23+Q23+R23)</f>
        <v/>
      </c>
      <c r="T23" s="37" t="n"/>
      <c r="U23" s="39">
        <f>IF($A23="","",IF(ISNUMBER(T23),T23,S23))</f>
        <v/>
      </c>
      <c r="V23" s="40" t="n"/>
      <c r="W23" s="34" t="n"/>
      <c r="X23" s="35" t="n"/>
      <c r="Y23" s="35" t="n"/>
      <c r="Z23" s="34" t="n"/>
      <c r="AA23" s="35" t="n"/>
      <c r="AB23" s="41">
        <f>IF(OR($A23="",AND(W23&lt;&gt;"Submitted",W23&lt;&gt;"Directive: price open",W23&lt;&gt;"Pricing")),"",'Contract'!$B$16-IF(ISNUMBER(X23),X23,IF(ISNUMBER(H23),H23,B23)))</f>
        <v/>
      </c>
      <c r="AC23" s="42">
        <f>IF($A23="","",IF(W23="","Set a status",IF(W23="Approved",IF(Y23="","Approved: enter the date it was signed","Signed"),IF(OR(W23="Rejected",W23="Void"),W23,IF(AND(G23="Verbal",H23=""),"Verbal only: confirm it in writing today",IF(AND(ISNUMBER(AA23),W23="Pricing"),"Work started, not yet priced",IF(AND(ISNUMBER(AA23),W23="Submitted"),"Work started, not signed",IF(W23="Directive: price open","Going ahead under a directive: agree the price",IF(AND(ISNUMBER(AB23),AB23&gt;'Contract'!$B$15),"Chase: waiting "&amp;AB23&amp;" days",IF(W23="Pricing","Price it and send it","Waiting for signature"))))))))))</f>
        <v/>
      </c>
      <c r="AD23" s="38">
        <f>IF($A23="","",SUMIFS(U$6:U22,W$6:W22,"Approved"))</f>
        <v/>
      </c>
      <c r="AE23" s="41">
        <f>IF($A23="","",SUMIFS(V$6:V22,W$6:W22,"Approved"))</f>
        <v/>
      </c>
      <c r="AF23" s="36" t="n"/>
      <c r="AG23" s="36" t="n"/>
    </row>
    <row r="24">
      <c r="A24" s="34" t="n"/>
      <c r="B24" s="35" t="n"/>
      <c r="C24" s="36" t="n"/>
      <c r="D24" s="36" t="n"/>
      <c r="E24" s="34" t="n"/>
      <c r="F24" s="36" t="n"/>
      <c r="G24" s="34" t="n"/>
      <c r="H24" s="35" t="n"/>
      <c r="I24" s="34" t="n"/>
      <c r="J24" s="37" t="n"/>
      <c r="K24" s="37" t="n"/>
      <c r="L24" s="37" t="n"/>
      <c r="M24" s="37" t="n"/>
      <c r="N24" s="37" t="n"/>
      <c r="O24" s="38">
        <f>IF($A24="","",SUM(J24:N24))</f>
        <v/>
      </c>
      <c r="P24" s="38">
        <f>IF($A24="","",ROUND((N(J24)+N(K24)+N(L24)+N(N24))*'Contract'!$B$12,2))</f>
        <v/>
      </c>
      <c r="Q24" s="38">
        <f>IF($A24="","",ROUND(N(M24)*'Contract'!$B$13,2))</f>
        <v/>
      </c>
      <c r="R24" s="38">
        <f>IF($A24="","",ROUND((O24+P24+Q24)*'Contract'!$B$14,2))</f>
        <v/>
      </c>
      <c r="S24" s="38">
        <f>IF($A24="","",O24+P24+Q24+R24)</f>
        <v/>
      </c>
      <c r="T24" s="37" t="n"/>
      <c r="U24" s="39">
        <f>IF($A24="","",IF(ISNUMBER(T24),T24,S24))</f>
        <v/>
      </c>
      <c r="V24" s="40" t="n"/>
      <c r="W24" s="34" t="n"/>
      <c r="X24" s="35" t="n"/>
      <c r="Y24" s="35" t="n"/>
      <c r="Z24" s="34" t="n"/>
      <c r="AA24" s="35" t="n"/>
      <c r="AB24" s="41">
        <f>IF(OR($A24="",AND(W24&lt;&gt;"Submitted",W24&lt;&gt;"Directive: price open",W24&lt;&gt;"Pricing")),"",'Contract'!$B$16-IF(ISNUMBER(X24),X24,IF(ISNUMBER(H24),H24,B24)))</f>
        <v/>
      </c>
      <c r="AC24" s="42">
        <f>IF($A24="","",IF(W24="","Set a status",IF(W24="Approved",IF(Y24="","Approved: enter the date it was signed","Signed"),IF(OR(W24="Rejected",W24="Void"),W24,IF(AND(G24="Verbal",H24=""),"Verbal only: confirm it in writing today",IF(AND(ISNUMBER(AA24),W24="Pricing"),"Work started, not yet priced",IF(AND(ISNUMBER(AA24),W24="Submitted"),"Work started, not signed",IF(W24="Directive: price open","Going ahead under a directive: agree the price",IF(AND(ISNUMBER(AB24),AB24&gt;'Contract'!$B$15),"Chase: waiting "&amp;AB24&amp;" days",IF(W24="Pricing","Price it and send it","Waiting for signature"))))))))))</f>
        <v/>
      </c>
      <c r="AD24" s="38">
        <f>IF($A24="","",SUMIFS(U$6:U23,W$6:W23,"Approved"))</f>
        <v/>
      </c>
      <c r="AE24" s="41">
        <f>IF($A24="","",SUMIFS(V$6:V23,W$6:W23,"Approved"))</f>
        <v/>
      </c>
      <c r="AF24" s="36" t="n"/>
      <c r="AG24" s="36" t="n"/>
    </row>
    <row r="25">
      <c r="A25" s="34" t="n"/>
      <c r="B25" s="35" t="n"/>
      <c r="C25" s="36" t="n"/>
      <c r="D25" s="36" t="n"/>
      <c r="E25" s="34" t="n"/>
      <c r="F25" s="36" t="n"/>
      <c r="G25" s="34" t="n"/>
      <c r="H25" s="35" t="n"/>
      <c r="I25" s="34" t="n"/>
      <c r="J25" s="37" t="n"/>
      <c r="K25" s="37" t="n"/>
      <c r="L25" s="37" t="n"/>
      <c r="M25" s="37" t="n"/>
      <c r="N25" s="37" t="n"/>
      <c r="O25" s="38">
        <f>IF($A25="","",SUM(J25:N25))</f>
        <v/>
      </c>
      <c r="P25" s="38">
        <f>IF($A25="","",ROUND((N(J25)+N(K25)+N(L25)+N(N25))*'Contract'!$B$12,2))</f>
        <v/>
      </c>
      <c r="Q25" s="38">
        <f>IF($A25="","",ROUND(N(M25)*'Contract'!$B$13,2))</f>
        <v/>
      </c>
      <c r="R25" s="38">
        <f>IF($A25="","",ROUND((O25+P25+Q25)*'Contract'!$B$14,2))</f>
        <v/>
      </c>
      <c r="S25" s="38">
        <f>IF($A25="","",O25+P25+Q25+R25)</f>
        <v/>
      </c>
      <c r="T25" s="37" t="n"/>
      <c r="U25" s="39">
        <f>IF($A25="","",IF(ISNUMBER(T25),T25,S25))</f>
        <v/>
      </c>
      <c r="V25" s="40" t="n"/>
      <c r="W25" s="34" t="n"/>
      <c r="X25" s="35" t="n"/>
      <c r="Y25" s="35" t="n"/>
      <c r="Z25" s="34" t="n"/>
      <c r="AA25" s="35" t="n"/>
      <c r="AB25" s="41">
        <f>IF(OR($A25="",AND(W25&lt;&gt;"Submitted",W25&lt;&gt;"Directive: price open",W25&lt;&gt;"Pricing")),"",'Contract'!$B$16-IF(ISNUMBER(X25),X25,IF(ISNUMBER(H25),H25,B25)))</f>
        <v/>
      </c>
      <c r="AC25" s="42">
        <f>IF($A25="","",IF(W25="","Set a status",IF(W25="Approved",IF(Y25="","Approved: enter the date it was signed","Signed"),IF(OR(W25="Rejected",W25="Void"),W25,IF(AND(G25="Verbal",H25=""),"Verbal only: confirm it in writing today",IF(AND(ISNUMBER(AA25),W25="Pricing"),"Work started, not yet priced",IF(AND(ISNUMBER(AA25),W25="Submitted"),"Work started, not signed",IF(W25="Directive: price open","Going ahead under a directive: agree the price",IF(AND(ISNUMBER(AB25),AB25&gt;'Contract'!$B$15),"Chase: waiting "&amp;AB25&amp;" days",IF(W25="Pricing","Price it and send it","Waiting for signature"))))))))))</f>
        <v/>
      </c>
      <c r="AD25" s="38">
        <f>IF($A25="","",SUMIFS(U$6:U24,W$6:W24,"Approved"))</f>
        <v/>
      </c>
      <c r="AE25" s="41">
        <f>IF($A25="","",SUMIFS(V$6:V24,W$6:W24,"Approved"))</f>
        <v/>
      </c>
      <c r="AF25" s="36" t="n"/>
      <c r="AG25" s="36" t="n"/>
    </row>
    <row r="26">
      <c r="A26" s="34" t="n"/>
      <c r="B26" s="35" t="n"/>
      <c r="C26" s="36" t="n"/>
      <c r="D26" s="36" t="n"/>
      <c r="E26" s="34" t="n"/>
      <c r="F26" s="36" t="n"/>
      <c r="G26" s="34" t="n"/>
      <c r="H26" s="35" t="n"/>
      <c r="I26" s="34" t="n"/>
      <c r="J26" s="37" t="n"/>
      <c r="K26" s="37" t="n"/>
      <c r="L26" s="37" t="n"/>
      <c r="M26" s="37" t="n"/>
      <c r="N26" s="37" t="n"/>
      <c r="O26" s="38">
        <f>IF($A26="","",SUM(J26:N26))</f>
        <v/>
      </c>
      <c r="P26" s="38">
        <f>IF($A26="","",ROUND((N(J26)+N(K26)+N(L26)+N(N26))*'Contract'!$B$12,2))</f>
        <v/>
      </c>
      <c r="Q26" s="38">
        <f>IF($A26="","",ROUND(N(M26)*'Contract'!$B$13,2))</f>
        <v/>
      </c>
      <c r="R26" s="38">
        <f>IF($A26="","",ROUND((O26+P26+Q26)*'Contract'!$B$14,2))</f>
        <v/>
      </c>
      <c r="S26" s="38">
        <f>IF($A26="","",O26+P26+Q26+R26)</f>
        <v/>
      </c>
      <c r="T26" s="37" t="n"/>
      <c r="U26" s="39">
        <f>IF($A26="","",IF(ISNUMBER(T26),T26,S26))</f>
        <v/>
      </c>
      <c r="V26" s="40" t="n"/>
      <c r="W26" s="34" t="n"/>
      <c r="X26" s="35" t="n"/>
      <c r="Y26" s="35" t="n"/>
      <c r="Z26" s="34" t="n"/>
      <c r="AA26" s="35" t="n"/>
      <c r="AB26" s="41">
        <f>IF(OR($A26="",AND(W26&lt;&gt;"Submitted",W26&lt;&gt;"Directive: price open",W26&lt;&gt;"Pricing")),"",'Contract'!$B$16-IF(ISNUMBER(X26),X26,IF(ISNUMBER(H26),H26,B26)))</f>
        <v/>
      </c>
      <c r="AC26" s="42">
        <f>IF($A26="","",IF(W26="","Set a status",IF(W26="Approved",IF(Y26="","Approved: enter the date it was signed","Signed"),IF(OR(W26="Rejected",W26="Void"),W26,IF(AND(G26="Verbal",H26=""),"Verbal only: confirm it in writing today",IF(AND(ISNUMBER(AA26),W26="Pricing"),"Work started, not yet priced",IF(AND(ISNUMBER(AA26),W26="Submitted"),"Work started, not signed",IF(W26="Directive: price open","Going ahead under a directive: agree the price",IF(AND(ISNUMBER(AB26),AB26&gt;'Contract'!$B$15),"Chase: waiting "&amp;AB26&amp;" days",IF(W26="Pricing","Price it and send it","Waiting for signature"))))))))))</f>
        <v/>
      </c>
      <c r="AD26" s="38">
        <f>IF($A26="","",SUMIFS(U$6:U25,W$6:W25,"Approved"))</f>
        <v/>
      </c>
      <c r="AE26" s="41">
        <f>IF($A26="","",SUMIFS(V$6:V25,W$6:W25,"Approved"))</f>
        <v/>
      </c>
      <c r="AF26" s="36" t="n"/>
      <c r="AG26" s="36" t="n"/>
    </row>
    <row r="27">
      <c r="A27" s="34" t="n"/>
      <c r="B27" s="35" t="n"/>
      <c r="C27" s="36" t="n"/>
      <c r="D27" s="36" t="n"/>
      <c r="E27" s="34" t="n"/>
      <c r="F27" s="36" t="n"/>
      <c r="G27" s="34" t="n"/>
      <c r="H27" s="35" t="n"/>
      <c r="I27" s="34" t="n"/>
      <c r="J27" s="37" t="n"/>
      <c r="K27" s="37" t="n"/>
      <c r="L27" s="37" t="n"/>
      <c r="M27" s="37" t="n"/>
      <c r="N27" s="37" t="n"/>
      <c r="O27" s="38">
        <f>IF($A27="","",SUM(J27:N27))</f>
        <v/>
      </c>
      <c r="P27" s="38">
        <f>IF($A27="","",ROUND((N(J27)+N(K27)+N(L27)+N(N27))*'Contract'!$B$12,2))</f>
        <v/>
      </c>
      <c r="Q27" s="38">
        <f>IF($A27="","",ROUND(N(M27)*'Contract'!$B$13,2))</f>
        <v/>
      </c>
      <c r="R27" s="38">
        <f>IF($A27="","",ROUND((O27+P27+Q27)*'Contract'!$B$14,2))</f>
        <v/>
      </c>
      <c r="S27" s="38">
        <f>IF($A27="","",O27+P27+Q27+R27)</f>
        <v/>
      </c>
      <c r="T27" s="37" t="n"/>
      <c r="U27" s="39">
        <f>IF($A27="","",IF(ISNUMBER(T27),T27,S27))</f>
        <v/>
      </c>
      <c r="V27" s="40" t="n"/>
      <c r="W27" s="34" t="n"/>
      <c r="X27" s="35" t="n"/>
      <c r="Y27" s="35" t="n"/>
      <c r="Z27" s="34" t="n"/>
      <c r="AA27" s="35" t="n"/>
      <c r="AB27" s="41">
        <f>IF(OR($A27="",AND(W27&lt;&gt;"Submitted",W27&lt;&gt;"Directive: price open",W27&lt;&gt;"Pricing")),"",'Contract'!$B$16-IF(ISNUMBER(X27),X27,IF(ISNUMBER(H27),H27,B27)))</f>
        <v/>
      </c>
      <c r="AC27" s="42">
        <f>IF($A27="","",IF(W27="","Set a status",IF(W27="Approved",IF(Y27="","Approved: enter the date it was signed","Signed"),IF(OR(W27="Rejected",W27="Void"),W27,IF(AND(G27="Verbal",H27=""),"Verbal only: confirm it in writing today",IF(AND(ISNUMBER(AA27),W27="Pricing"),"Work started, not yet priced",IF(AND(ISNUMBER(AA27),W27="Submitted"),"Work started, not signed",IF(W27="Directive: price open","Going ahead under a directive: agree the price",IF(AND(ISNUMBER(AB27),AB27&gt;'Contract'!$B$15),"Chase: waiting "&amp;AB27&amp;" days",IF(W27="Pricing","Price it and send it","Waiting for signature"))))))))))</f>
        <v/>
      </c>
      <c r="AD27" s="38">
        <f>IF($A27="","",SUMIFS(U$6:U26,W$6:W26,"Approved"))</f>
        <v/>
      </c>
      <c r="AE27" s="41">
        <f>IF($A27="","",SUMIFS(V$6:V26,W$6:W26,"Approved"))</f>
        <v/>
      </c>
      <c r="AF27" s="36" t="n"/>
      <c r="AG27" s="36" t="n"/>
    </row>
    <row r="28">
      <c r="A28" s="34" t="n"/>
      <c r="B28" s="35" t="n"/>
      <c r="C28" s="36" t="n"/>
      <c r="D28" s="36" t="n"/>
      <c r="E28" s="34" t="n"/>
      <c r="F28" s="36" t="n"/>
      <c r="G28" s="34" t="n"/>
      <c r="H28" s="35" t="n"/>
      <c r="I28" s="34" t="n"/>
      <c r="J28" s="37" t="n"/>
      <c r="K28" s="37" t="n"/>
      <c r="L28" s="37" t="n"/>
      <c r="M28" s="37" t="n"/>
      <c r="N28" s="37" t="n"/>
      <c r="O28" s="38">
        <f>IF($A28="","",SUM(J28:N28))</f>
        <v/>
      </c>
      <c r="P28" s="38">
        <f>IF($A28="","",ROUND((N(J28)+N(K28)+N(L28)+N(N28))*'Contract'!$B$12,2))</f>
        <v/>
      </c>
      <c r="Q28" s="38">
        <f>IF($A28="","",ROUND(N(M28)*'Contract'!$B$13,2))</f>
        <v/>
      </c>
      <c r="R28" s="38">
        <f>IF($A28="","",ROUND((O28+P28+Q28)*'Contract'!$B$14,2))</f>
        <v/>
      </c>
      <c r="S28" s="38">
        <f>IF($A28="","",O28+P28+Q28+R28)</f>
        <v/>
      </c>
      <c r="T28" s="37" t="n"/>
      <c r="U28" s="39">
        <f>IF($A28="","",IF(ISNUMBER(T28),T28,S28))</f>
        <v/>
      </c>
      <c r="V28" s="40" t="n"/>
      <c r="W28" s="34" t="n"/>
      <c r="X28" s="35" t="n"/>
      <c r="Y28" s="35" t="n"/>
      <c r="Z28" s="34" t="n"/>
      <c r="AA28" s="35" t="n"/>
      <c r="AB28" s="41">
        <f>IF(OR($A28="",AND(W28&lt;&gt;"Submitted",W28&lt;&gt;"Directive: price open",W28&lt;&gt;"Pricing")),"",'Contract'!$B$16-IF(ISNUMBER(X28),X28,IF(ISNUMBER(H28),H28,B28)))</f>
        <v/>
      </c>
      <c r="AC28" s="42">
        <f>IF($A28="","",IF(W28="","Set a status",IF(W28="Approved",IF(Y28="","Approved: enter the date it was signed","Signed"),IF(OR(W28="Rejected",W28="Void"),W28,IF(AND(G28="Verbal",H28=""),"Verbal only: confirm it in writing today",IF(AND(ISNUMBER(AA28),W28="Pricing"),"Work started, not yet priced",IF(AND(ISNUMBER(AA28),W28="Submitted"),"Work started, not signed",IF(W28="Directive: price open","Going ahead under a directive: agree the price",IF(AND(ISNUMBER(AB28),AB28&gt;'Contract'!$B$15),"Chase: waiting "&amp;AB28&amp;" days",IF(W28="Pricing","Price it and send it","Waiting for signature"))))))))))</f>
        <v/>
      </c>
      <c r="AD28" s="38">
        <f>IF($A28="","",SUMIFS(U$6:U27,W$6:W27,"Approved"))</f>
        <v/>
      </c>
      <c r="AE28" s="41">
        <f>IF($A28="","",SUMIFS(V$6:V27,W$6:W27,"Approved"))</f>
        <v/>
      </c>
      <c r="AF28" s="36" t="n"/>
      <c r="AG28" s="36" t="n"/>
    </row>
    <row r="29">
      <c r="A29" s="34" t="n"/>
      <c r="B29" s="35" t="n"/>
      <c r="C29" s="36" t="n"/>
      <c r="D29" s="36" t="n"/>
      <c r="E29" s="34" t="n"/>
      <c r="F29" s="36" t="n"/>
      <c r="G29" s="34" t="n"/>
      <c r="H29" s="35" t="n"/>
      <c r="I29" s="34" t="n"/>
      <c r="J29" s="37" t="n"/>
      <c r="K29" s="37" t="n"/>
      <c r="L29" s="37" t="n"/>
      <c r="M29" s="37" t="n"/>
      <c r="N29" s="37" t="n"/>
      <c r="O29" s="38">
        <f>IF($A29="","",SUM(J29:N29))</f>
        <v/>
      </c>
      <c r="P29" s="38">
        <f>IF($A29="","",ROUND((N(J29)+N(K29)+N(L29)+N(N29))*'Contract'!$B$12,2))</f>
        <v/>
      </c>
      <c r="Q29" s="38">
        <f>IF($A29="","",ROUND(N(M29)*'Contract'!$B$13,2))</f>
        <v/>
      </c>
      <c r="R29" s="38">
        <f>IF($A29="","",ROUND((O29+P29+Q29)*'Contract'!$B$14,2))</f>
        <v/>
      </c>
      <c r="S29" s="38">
        <f>IF($A29="","",O29+P29+Q29+R29)</f>
        <v/>
      </c>
      <c r="T29" s="37" t="n"/>
      <c r="U29" s="39">
        <f>IF($A29="","",IF(ISNUMBER(T29),T29,S29))</f>
        <v/>
      </c>
      <c r="V29" s="40" t="n"/>
      <c r="W29" s="34" t="n"/>
      <c r="X29" s="35" t="n"/>
      <c r="Y29" s="35" t="n"/>
      <c r="Z29" s="34" t="n"/>
      <c r="AA29" s="35" t="n"/>
      <c r="AB29" s="41">
        <f>IF(OR($A29="",AND(W29&lt;&gt;"Submitted",W29&lt;&gt;"Directive: price open",W29&lt;&gt;"Pricing")),"",'Contract'!$B$16-IF(ISNUMBER(X29),X29,IF(ISNUMBER(H29),H29,B29)))</f>
        <v/>
      </c>
      <c r="AC29" s="42">
        <f>IF($A29="","",IF(W29="","Set a status",IF(W29="Approved",IF(Y29="","Approved: enter the date it was signed","Signed"),IF(OR(W29="Rejected",W29="Void"),W29,IF(AND(G29="Verbal",H29=""),"Verbal only: confirm it in writing today",IF(AND(ISNUMBER(AA29),W29="Pricing"),"Work started, not yet priced",IF(AND(ISNUMBER(AA29),W29="Submitted"),"Work started, not signed",IF(W29="Directive: price open","Going ahead under a directive: agree the price",IF(AND(ISNUMBER(AB29),AB29&gt;'Contract'!$B$15),"Chase: waiting "&amp;AB29&amp;" days",IF(W29="Pricing","Price it and send it","Waiting for signature"))))))))))</f>
        <v/>
      </c>
      <c r="AD29" s="38">
        <f>IF($A29="","",SUMIFS(U$6:U28,W$6:W28,"Approved"))</f>
        <v/>
      </c>
      <c r="AE29" s="41">
        <f>IF($A29="","",SUMIFS(V$6:V28,W$6:W28,"Approved"))</f>
        <v/>
      </c>
      <c r="AF29" s="36" t="n"/>
      <c r="AG29" s="36" t="n"/>
    </row>
    <row r="30">
      <c r="A30" s="34" t="n"/>
      <c r="B30" s="35" t="n"/>
      <c r="C30" s="36" t="n"/>
      <c r="D30" s="36" t="n"/>
      <c r="E30" s="34" t="n"/>
      <c r="F30" s="36" t="n"/>
      <c r="G30" s="34" t="n"/>
      <c r="H30" s="35" t="n"/>
      <c r="I30" s="34" t="n"/>
      <c r="J30" s="37" t="n"/>
      <c r="K30" s="37" t="n"/>
      <c r="L30" s="37" t="n"/>
      <c r="M30" s="37" t="n"/>
      <c r="N30" s="37" t="n"/>
      <c r="O30" s="38">
        <f>IF($A30="","",SUM(J30:N30))</f>
        <v/>
      </c>
      <c r="P30" s="38">
        <f>IF($A30="","",ROUND((N(J30)+N(K30)+N(L30)+N(N30))*'Contract'!$B$12,2))</f>
        <v/>
      </c>
      <c r="Q30" s="38">
        <f>IF($A30="","",ROUND(N(M30)*'Contract'!$B$13,2))</f>
        <v/>
      </c>
      <c r="R30" s="38">
        <f>IF($A30="","",ROUND((O30+P30+Q30)*'Contract'!$B$14,2))</f>
        <v/>
      </c>
      <c r="S30" s="38">
        <f>IF($A30="","",O30+P30+Q30+R30)</f>
        <v/>
      </c>
      <c r="T30" s="37" t="n"/>
      <c r="U30" s="39">
        <f>IF($A30="","",IF(ISNUMBER(T30),T30,S30))</f>
        <v/>
      </c>
      <c r="V30" s="40" t="n"/>
      <c r="W30" s="34" t="n"/>
      <c r="X30" s="35" t="n"/>
      <c r="Y30" s="35" t="n"/>
      <c r="Z30" s="34" t="n"/>
      <c r="AA30" s="35" t="n"/>
      <c r="AB30" s="41">
        <f>IF(OR($A30="",AND(W30&lt;&gt;"Submitted",W30&lt;&gt;"Directive: price open",W30&lt;&gt;"Pricing")),"",'Contract'!$B$16-IF(ISNUMBER(X30),X30,IF(ISNUMBER(H30),H30,B30)))</f>
        <v/>
      </c>
      <c r="AC30" s="42">
        <f>IF($A30="","",IF(W30="","Set a status",IF(W30="Approved",IF(Y30="","Approved: enter the date it was signed","Signed"),IF(OR(W30="Rejected",W30="Void"),W30,IF(AND(G30="Verbal",H30=""),"Verbal only: confirm it in writing today",IF(AND(ISNUMBER(AA30),W30="Pricing"),"Work started, not yet priced",IF(AND(ISNUMBER(AA30),W30="Submitted"),"Work started, not signed",IF(W30="Directive: price open","Going ahead under a directive: agree the price",IF(AND(ISNUMBER(AB30),AB30&gt;'Contract'!$B$15),"Chase: waiting "&amp;AB30&amp;" days",IF(W30="Pricing","Price it and send it","Waiting for signature"))))))))))</f>
        <v/>
      </c>
      <c r="AD30" s="38">
        <f>IF($A30="","",SUMIFS(U$6:U29,W$6:W29,"Approved"))</f>
        <v/>
      </c>
      <c r="AE30" s="41">
        <f>IF($A30="","",SUMIFS(V$6:V29,W$6:W29,"Approved"))</f>
        <v/>
      </c>
      <c r="AF30" s="36" t="n"/>
      <c r="AG30" s="36" t="n"/>
    </row>
    <row r="31">
      <c r="A31" s="34" t="n"/>
      <c r="B31" s="35" t="n"/>
      <c r="C31" s="36" t="n"/>
      <c r="D31" s="36" t="n"/>
      <c r="E31" s="34" t="n"/>
      <c r="F31" s="36" t="n"/>
      <c r="G31" s="34" t="n"/>
      <c r="H31" s="35" t="n"/>
      <c r="I31" s="34" t="n"/>
      <c r="J31" s="37" t="n"/>
      <c r="K31" s="37" t="n"/>
      <c r="L31" s="37" t="n"/>
      <c r="M31" s="37" t="n"/>
      <c r="N31" s="37" t="n"/>
      <c r="O31" s="38">
        <f>IF($A31="","",SUM(J31:N31))</f>
        <v/>
      </c>
      <c r="P31" s="38">
        <f>IF($A31="","",ROUND((N(J31)+N(K31)+N(L31)+N(N31))*'Contract'!$B$12,2))</f>
        <v/>
      </c>
      <c r="Q31" s="38">
        <f>IF($A31="","",ROUND(N(M31)*'Contract'!$B$13,2))</f>
        <v/>
      </c>
      <c r="R31" s="38">
        <f>IF($A31="","",ROUND((O31+P31+Q31)*'Contract'!$B$14,2))</f>
        <v/>
      </c>
      <c r="S31" s="38">
        <f>IF($A31="","",O31+P31+Q31+R31)</f>
        <v/>
      </c>
      <c r="T31" s="37" t="n"/>
      <c r="U31" s="39">
        <f>IF($A31="","",IF(ISNUMBER(T31),T31,S31))</f>
        <v/>
      </c>
      <c r="V31" s="40" t="n"/>
      <c r="W31" s="34" t="n"/>
      <c r="X31" s="35" t="n"/>
      <c r="Y31" s="35" t="n"/>
      <c r="Z31" s="34" t="n"/>
      <c r="AA31" s="35" t="n"/>
      <c r="AB31" s="41">
        <f>IF(OR($A31="",AND(W31&lt;&gt;"Submitted",W31&lt;&gt;"Directive: price open",W31&lt;&gt;"Pricing")),"",'Contract'!$B$16-IF(ISNUMBER(X31),X31,IF(ISNUMBER(H31),H31,B31)))</f>
        <v/>
      </c>
      <c r="AC31" s="42">
        <f>IF($A31="","",IF(W31="","Set a status",IF(W31="Approved",IF(Y31="","Approved: enter the date it was signed","Signed"),IF(OR(W31="Rejected",W31="Void"),W31,IF(AND(G31="Verbal",H31=""),"Verbal only: confirm it in writing today",IF(AND(ISNUMBER(AA31),W31="Pricing"),"Work started, not yet priced",IF(AND(ISNUMBER(AA31),W31="Submitted"),"Work started, not signed",IF(W31="Directive: price open","Going ahead under a directive: agree the price",IF(AND(ISNUMBER(AB31),AB31&gt;'Contract'!$B$15),"Chase: waiting "&amp;AB31&amp;" days",IF(W31="Pricing","Price it and send it","Waiting for signature"))))))))))</f>
        <v/>
      </c>
      <c r="AD31" s="38">
        <f>IF($A31="","",SUMIFS(U$6:U30,W$6:W30,"Approved"))</f>
        <v/>
      </c>
      <c r="AE31" s="41">
        <f>IF($A31="","",SUMIFS(V$6:V30,W$6:W30,"Approved"))</f>
        <v/>
      </c>
      <c r="AF31" s="36" t="n"/>
      <c r="AG31" s="36" t="n"/>
    </row>
    <row r="32">
      <c r="A32" s="34" t="n"/>
      <c r="B32" s="35" t="n"/>
      <c r="C32" s="36" t="n"/>
      <c r="D32" s="36" t="n"/>
      <c r="E32" s="34" t="n"/>
      <c r="F32" s="36" t="n"/>
      <c r="G32" s="34" t="n"/>
      <c r="H32" s="35" t="n"/>
      <c r="I32" s="34" t="n"/>
      <c r="J32" s="37" t="n"/>
      <c r="K32" s="37" t="n"/>
      <c r="L32" s="37" t="n"/>
      <c r="M32" s="37" t="n"/>
      <c r="N32" s="37" t="n"/>
      <c r="O32" s="38">
        <f>IF($A32="","",SUM(J32:N32))</f>
        <v/>
      </c>
      <c r="P32" s="38">
        <f>IF($A32="","",ROUND((N(J32)+N(K32)+N(L32)+N(N32))*'Contract'!$B$12,2))</f>
        <v/>
      </c>
      <c r="Q32" s="38">
        <f>IF($A32="","",ROUND(N(M32)*'Contract'!$B$13,2))</f>
        <v/>
      </c>
      <c r="R32" s="38">
        <f>IF($A32="","",ROUND((O32+P32+Q32)*'Contract'!$B$14,2))</f>
        <v/>
      </c>
      <c r="S32" s="38">
        <f>IF($A32="","",O32+P32+Q32+R32)</f>
        <v/>
      </c>
      <c r="T32" s="37" t="n"/>
      <c r="U32" s="39">
        <f>IF($A32="","",IF(ISNUMBER(T32),T32,S32))</f>
        <v/>
      </c>
      <c r="V32" s="40" t="n"/>
      <c r="W32" s="34" t="n"/>
      <c r="X32" s="35" t="n"/>
      <c r="Y32" s="35" t="n"/>
      <c r="Z32" s="34" t="n"/>
      <c r="AA32" s="35" t="n"/>
      <c r="AB32" s="41">
        <f>IF(OR($A32="",AND(W32&lt;&gt;"Submitted",W32&lt;&gt;"Directive: price open",W32&lt;&gt;"Pricing")),"",'Contract'!$B$16-IF(ISNUMBER(X32),X32,IF(ISNUMBER(H32),H32,B32)))</f>
        <v/>
      </c>
      <c r="AC32" s="42">
        <f>IF($A32="","",IF(W32="","Set a status",IF(W32="Approved",IF(Y32="","Approved: enter the date it was signed","Signed"),IF(OR(W32="Rejected",W32="Void"),W32,IF(AND(G32="Verbal",H32=""),"Verbal only: confirm it in writing today",IF(AND(ISNUMBER(AA32),W32="Pricing"),"Work started, not yet priced",IF(AND(ISNUMBER(AA32),W32="Submitted"),"Work started, not signed",IF(W32="Directive: price open","Going ahead under a directive: agree the price",IF(AND(ISNUMBER(AB32),AB32&gt;'Contract'!$B$15),"Chase: waiting "&amp;AB32&amp;" days",IF(W32="Pricing","Price it and send it","Waiting for signature"))))))))))</f>
        <v/>
      </c>
      <c r="AD32" s="38">
        <f>IF($A32="","",SUMIFS(U$6:U31,W$6:W31,"Approved"))</f>
        <v/>
      </c>
      <c r="AE32" s="41">
        <f>IF($A32="","",SUMIFS(V$6:V31,W$6:W31,"Approved"))</f>
        <v/>
      </c>
      <c r="AF32" s="36" t="n"/>
      <c r="AG32" s="36" t="n"/>
    </row>
    <row r="33">
      <c r="A33" s="34" t="n"/>
      <c r="B33" s="35" t="n"/>
      <c r="C33" s="36" t="n"/>
      <c r="D33" s="36" t="n"/>
      <c r="E33" s="34" t="n"/>
      <c r="F33" s="36" t="n"/>
      <c r="G33" s="34" t="n"/>
      <c r="H33" s="35" t="n"/>
      <c r="I33" s="34" t="n"/>
      <c r="J33" s="37" t="n"/>
      <c r="K33" s="37" t="n"/>
      <c r="L33" s="37" t="n"/>
      <c r="M33" s="37" t="n"/>
      <c r="N33" s="37" t="n"/>
      <c r="O33" s="38">
        <f>IF($A33="","",SUM(J33:N33))</f>
        <v/>
      </c>
      <c r="P33" s="38">
        <f>IF($A33="","",ROUND((N(J33)+N(K33)+N(L33)+N(N33))*'Contract'!$B$12,2))</f>
        <v/>
      </c>
      <c r="Q33" s="38">
        <f>IF($A33="","",ROUND(N(M33)*'Contract'!$B$13,2))</f>
        <v/>
      </c>
      <c r="R33" s="38">
        <f>IF($A33="","",ROUND((O33+P33+Q33)*'Contract'!$B$14,2))</f>
        <v/>
      </c>
      <c r="S33" s="38">
        <f>IF($A33="","",O33+P33+Q33+R33)</f>
        <v/>
      </c>
      <c r="T33" s="37" t="n"/>
      <c r="U33" s="39">
        <f>IF($A33="","",IF(ISNUMBER(T33),T33,S33))</f>
        <v/>
      </c>
      <c r="V33" s="40" t="n"/>
      <c r="W33" s="34" t="n"/>
      <c r="X33" s="35" t="n"/>
      <c r="Y33" s="35" t="n"/>
      <c r="Z33" s="34" t="n"/>
      <c r="AA33" s="35" t="n"/>
      <c r="AB33" s="41">
        <f>IF(OR($A33="",AND(W33&lt;&gt;"Submitted",W33&lt;&gt;"Directive: price open",W33&lt;&gt;"Pricing")),"",'Contract'!$B$16-IF(ISNUMBER(X33),X33,IF(ISNUMBER(H33),H33,B33)))</f>
        <v/>
      </c>
      <c r="AC33" s="42">
        <f>IF($A33="","",IF(W33="","Set a status",IF(W33="Approved",IF(Y33="","Approved: enter the date it was signed","Signed"),IF(OR(W33="Rejected",W33="Void"),W33,IF(AND(G33="Verbal",H33=""),"Verbal only: confirm it in writing today",IF(AND(ISNUMBER(AA33),W33="Pricing"),"Work started, not yet priced",IF(AND(ISNUMBER(AA33),W33="Submitted"),"Work started, not signed",IF(W33="Directive: price open","Going ahead under a directive: agree the price",IF(AND(ISNUMBER(AB33),AB33&gt;'Contract'!$B$15),"Chase: waiting "&amp;AB33&amp;" days",IF(W33="Pricing","Price it and send it","Waiting for signature"))))))))))</f>
        <v/>
      </c>
      <c r="AD33" s="38">
        <f>IF($A33="","",SUMIFS(U$6:U32,W$6:W32,"Approved"))</f>
        <v/>
      </c>
      <c r="AE33" s="41">
        <f>IF($A33="","",SUMIFS(V$6:V32,W$6:W32,"Approved"))</f>
        <v/>
      </c>
      <c r="AF33" s="36" t="n"/>
      <c r="AG33" s="36" t="n"/>
    </row>
    <row r="34">
      <c r="A34" s="34" t="n"/>
      <c r="B34" s="35" t="n"/>
      <c r="C34" s="36" t="n"/>
      <c r="D34" s="36" t="n"/>
      <c r="E34" s="34" t="n"/>
      <c r="F34" s="36" t="n"/>
      <c r="G34" s="34" t="n"/>
      <c r="H34" s="35" t="n"/>
      <c r="I34" s="34" t="n"/>
      <c r="J34" s="37" t="n"/>
      <c r="K34" s="37" t="n"/>
      <c r="L34" s="37" t="n"/>
      <c r="M34" s="37" t="n"/>
      <c r="N34" s="37" t="n"/>
      <c r="O34" s="38">
        <f>IF($A34="","",SUM(J34:N34))</f>
        <v/>
      </c>
      <c r="P34" s="38">
        <f>IF($A34="","",ROUND((N(J34)+N(K34)+N(L34)+N(N34))*'Contract'!$B$12,2))</f>
        <v/>
      </c>
      <c r="Q34" s="38">
        <f>IF($A34="","",ROUND(N(M34)*'Contract'!$B$13,2))</f>
        <v/>
      </c>
      <c r="R34" s="38">
        <f>IF($A34="","",ROUND((O34+P34+Q34)*'Contract'!$B$14,2))</f>
        <v/>
      </c>
      <c r="S34" s="38">
        <f>IF($A34="","",O34+P34+Q34+R34)</f>
        <v/>
      </c>
      <c r="T34" s="37" t="n"/>
      <c r="U34" s="39">
        <f>IF($A34="","",IF(ISNUMBER(T34),T34,S34))</f>
        <v/>
      </c>
      <c r="V34" s="40" t="n"/>
      <c r="W34" s="34" t="n"/>
      <c r="X34" s="35" t="n"/>
      <c r="Y34" s="35" t="n"/>
      <c r="Z34" s="34" t="n"/>
      <c r="AA34" s="35" t="n"/>
      <c r="AB34" s="41">
        <f>IF(OR($A34="",AND(W34&lt;&gt;"Submitted",W34&lt;&gt;"Directive: price open",W34&lt;&gt;"Pricing")),"",'Contract'!$B$16-IF(ISNUMBER(X34),X34,IF(ISNUMBER(H34),H34,B34)))</f>
        <v/>
      </c>
      <c r="AC34" s="42">
        <f>IF($A34="","",IF(W34="","Set a status",IF(W34="Approved",IF(Y34="","Approved: enter the date it was signed","Signed"),IF(OR(W34="Rejected",W34="Void"),W34,IF(AND(G34="Verbal",H34=""),"Verbal only: confirm it in writing today",IF(AND(ISNUMBER(AA34),W34="Pricing"),"Work started, not yet priced",IF(AND(ISNUMBER(AA34),W34="Submitted"),"Work started, not signed",IF(W34="Directive: price open","Going ahead under a directive: agree the price",IF(AND(ISNUMBER(AB34),AB34&gt;'Contract'!$B$15),"Chase: waiting "&amp;AB34&amp;" days",IF(W34="Pricing","Price it and send it","Waiting for signature"))))))))))</f>
        <v/>
      </c>
      <c r="AD34" s="38">
        <f>IF($A34="","",SUMIFS(U$6:U33,W$6:W33,"Approved"))</f>
        <v/>
      </c>
      <c r="AE34" s="41">
        <f>IF($A34="","",SUMIFS(V$6:V33,W$6:W33,"Approved"))</f>
        <v/>
      </c>
      <c r="AF34" s="36" t="n"/>
      <c r="AG34" s="36" t="n"/>
    </row>
    <row r="35">
      <c r="A35" s="34" t="n"/>
      <c r="B35" s="35" t="n"/>
      <c r="C35" s="36" t="n"/>
      <c r="D35" s="36" t="n"/>
      <c r="E35" s="34" t="n"/>
      <c r="F35" s="36" t="n"/>
      <c r="G35" s="34" t="n"/>
      <c r="H35" s="35" t="n"/>
      <c r="I35" s="34" t="n"/>
      <c r="J35" s="37" t="n"/>
      <c r="K35" s="37" t="n"/>
      <c r="L35" s="37" t="n"/>
      <c r="M35" s="37" t="n"/>
      <c r="N35" s="37" t="n"/>
      <c r="O35" s="38">
        <f>IF($A35="","",SUM(J35:N35))</f>
        <v/>
      </c>
      <c r="P35" s="38">
        <f>IF($A35="","",ROUND((N(J35)+N(K35)+N(L35)+N(N35))*'Contract'!$B$12,2))</f>
        <v/>
      </c>
      <c r="Q35" s="38">
        <f>IF($A35="","",ROUND(N(M35)*'Contract'!$B$13,2))</f>
        <v/>
      </c>
      <c r="R35" s="38">
        <f>IF($A35="","",ROUND((O35+P35+Q35)*'Contract'!$B$14,2))</f>
        <v/>
      </c>
      <c r="S35" s="38">
        <f>IF($A35="","",O35+P35+Q35+R35)</f>
        <v/>
      </c>
      <c r="T35" s="37" t="n"/>
      <c r="U35" s="39">
        <f>IF($A35="","",IF(ISNUMBER(T35),T35,S35))</f>
        <v/>
      </c>
      <c r="V35" s="40" t="n"/>
      <c r="W35" s="34" t="n"/>
      <c r="X35" s="35" t="n"/>
      <c r="Y35" s="35" t="n"/>
      <c r="Z35" s="34" t="n"/>
      <c r="AA35" s="35" t="n"/>
      <c r="AB35" s="41">
        <f>IF(OR($A35="",AND(W35&lt;&gt;"Submitted",W35&lt;&gt;"Directive: price open",W35&lt;&gt;"Pricing")),"",'Contract'!$B$16-IF(ISNUMBER(X35),X35,IF(ISNUMBER(H35),H35,B35)))</f>
        <v/>
      </c>
      <c r="AC35" s="42">
        <f>IF($A35="","",IF(W35="","Set a status",IF(W35="Approved",IF(Y35="","Approved: enter the date it was signed","Signed"),IF(OR(W35="Rejected",W35="Void"),W35,IF(AND(G35="Verbal",H35=""),"Verbal only: confirm it in writing today",IF(AND(ISNUMBER(AA35),W35="Pricing"),"Work started, not yet priced",IF(AND(ISNUMBER(AA35),W35="Submitted"),"Work started, not signed",IF(W35="Directive: price open","Going ahead under a directive: agree the price",IF(AND(ISNUMBER(AB35),AB35&gt;'Contract'!$B$15),"Chase: waiting "&amp;AB35&amp;" days",IF(W35="Pricing","Price it and send it","Waiting for signature"))))))))))</f>
        <v/>
      </c>
      <c r="AD35" s="38">
        <f>IF($A35="","",SUMIFS(U$6:U34,W$6:W34,"Approved"))</f>
        <v/>
      </c>
      <c r="AE35" s="41">
        <f>IF($A35="","",SUMIFS(V$6:V34,W$6:W34,"Approved"))</f>
        <v/>
      </c>
      <c r="AF35" s="36" t="n"/>
      <c r="AG35" s="36" t="n"/>
    </row>
    <row r="36">
      <c r="A36" s="34" t="n"/>
      <c r="B36" s="35" t="n"/>
      <c r="C36" s="36" t="n"/>
      <c r="D36" s="36" t="n"/>
      <c r="E36" s="34" t="n"/>
      <c r="F36" s="36" t="n"/>
      <c r="G36" s="34" t="n"/>
      <c r="H36" s="35" t="n"/>
      <c r="I36" s="34" t="n"/>
      <c r="J36" s="37" t="n"/>
      <c r="K36" s="37" t="n"/>
      <c r="L36" s="37" t="n"/>
      <c r="M36" s="37" t="n"/>
      <c r="N36" s="37" t="n"/>
      <c r="O36" s="38">
        <f>IF($A36="","",SUM(J36:N36))</f>
        <v/>
      </c>
      <c r="P36" s="38">
        <f>IF($A36="","",ROUND((N(J36)+N(K36)+N(L36)+N(N36))*'Contract'!$B$12,2))</f>
        <v/>
      </c>
      <c r="Q36" s="38">
        <f>IF($A36="","",ROUND(N(M36)*'Contract'!$B$13,2))</f>
        <v/>
      </c>
      <c r="R36" s="38">
        <f>IF($A36="","",ROUND((O36+P36+Q36)*'Contract'!$B$14,2))</f>
        <v/>
      </c>
      <c r="S36" s="38">
        <f>IF($A36="","",O36+P36+Q36+R36)</f>
        <v/>
      </c>
      <c r="T36" s="37" t="n"/>
      <c r="U36" s="39">
        <f>IF($A36="","",IF(ISNUMBER(T36),T36,S36))</f>
        <v/>
      </c>
      <c r="V36" s="40" t="n"/>
      <c r="W36" s="34" t="n"/>
      <c r="X36" s="35" t="n"/>
      <c r="Y36" s="35" t="n"/>
      <c r="Z36" s="34" t="n"/>
      <c r="AA36" s="35" t="n"/>
      <c r="AB36" s="41">
        <f>IF(OR($A36="",AND(W36&lt;&gt;"Submitted",W36&lt;&gt;"Directive: price open",W36&lt;&gt;"Pricing")),"",'Contract'!$B$16-IF(ISNUMBER(X36),X36,IF(ISNUMBER(H36),H36,B36)))</f>
        <v/>
      </c>
      <c r="AC36" s="42">
        <f>IF($A36="","",IF(W36="","Set a status",IF(W36="Approved",IF(Y36="","Approved: enter the date it was signed","Signed"),IF(OR(W36="Rejected",W36="Void"),W36,IF(AND(G36="Verbal",H36=""),"Verbal only: confirm it in writing today",IF(AND(ISNUMBER(AA36),W36="Pricing"),"Work started, not yet priced",IF(AND(ISNUMBER(AA36),W36="Submitted"),"Work started, not signed",IF(W36="Directive: price open","Going ahead under a directive: agree the price",IF(AND(ISNUMBER(AB36),AB36&gt;'Contract'!$B$15),"Chase: waiting "&amp;AB36&amp;" days",IF(W36="Pricing","Price it and send it","Waiting for signature"))))))))))</f>
        <v/>
      </c>
      <c r="AD36" s="38">
        <f>IF($A36="","",SUMIFS(U$6:U35,W$6:W35,"Approved"))</f>
        <v/>
      </c>
      <c r="AE36" s="41">
        <f>IF($A36="","",SUMIFS(V$6:V35,W$6:W35,"Approved"))</f>
        <v/>
      </c>
      <c r="AF36" s="36" t="n"/>
      <c r="AG36" s="36" t="n"/>
    </row>
    <row r="37">
      <c r="A37" s="34" t="n"/>
      <c r="B37" s="35" t="n"/>
      <c r="C37" s="36" t="n"/>
      <c r="D37" s="36" t="n"/>
      <c r="E37" s="34" t="n"/>
      <c r="F37" s="36" t="n"/>
      <c r="G37" s="34" t="n"/>
      <c r="H37" s="35" t="n"/>
      <c r="I37" s="34" t="n"/>
      <c r="J37" s="37" t="n"/>
      <c r="K37" s="37" t="n"/>
      <c r="L37" s="37" t="n"/>
      <c r="M37" s="37" t="n"/>
      <c r="N37" s="37" t="n"/>
      <c r="O37" s="38">
        <f>IF($A37="","",SUM(J37:N37))</f>
        <v/>
      </c>
      <c r="P37" s="38">
        <f>IF($A37="","",ROUND((N(J37)+N(K37)+N(L37)+N(N37))*'Contract'!$B$12,2))</f>
        <v/>
      </c>
      <c r="Q37" s="38">
        <f>IF($A37="","",ROUND(N(M37)*'Contract'!$B$13,2))</f>
        <v/>
      </c>
      <c r="R37" s="38">
        <f>IF($A37="","",ROUND((O37+P37+Q37)*'Contract'!$B$14,2))</f>
        <v/>
      </c>
      <c r="S37" s="38">
        <f>IF($A37="","",O37+P37+Q37+R37)</f>
        <v/>
      </c>
      <c r="T37" s="37" t="n"/>
      <c r="U37" s="39">
        <f>IF($A37="","",IF(ISNUMBER(T37),T37,S37))</f>
        <v/>
      </c>
      <c r="V37" s="40" t="n"/>
      <c r="W37" s="34" t="n"/>
      <c r="X37" s="35" t="n"/>
      <c r="Y37" s="35" t="n"/>
      <c r="Z37" s="34" t="n"/>
      <c r="AA37" s="35" t="n"/>
      <c r="AB37" s="41">
        <f>IF(OR($A37="",AND(W37&lt;&gt;"Submitted",W37&lt;&gt;"Directive: price open",W37&lt;&gt;"Pricing")),"",'Contract'!$B$16-IF(ISNUMBER(X37),X37,IF(ISNUMBER(H37),H37,B37)))</f>
        <v/>
      </c>
      <c r="AC37" s="42">
        <f>IF($A37="","",IF(W37="","Set a status",IF(W37="Approved",IF(Y37="","Approved: enter the date it was signed","Signed"),IF(OR(W37="Rejected",W37="Void"),W37,IF(AND(G37="Verbal",H37=""),"Verbal only: confirm it in writing today",IF(AND(ISNUMBER(AA37),W37="Pricing"),"Work started, not yet priced",IF(AND(ISNUMBER(AA37),W37="Submitted"),"Work started, not signed",IF(W37="Directive: price open","Going ahead under a directive: agree the price",IF(AND(ISNUMBER(AB37),AB37&gt;'Contract'!$B$15),"Chase: waiting "&amp;AB37&amp;" days",IF(W37="Pricing","Price it and send it","Waiting for signature"))))))))))</f>
        <v/>
      </c>
      <c r="AD37" s="38">
        <f>IF($A37="","",SUMIFS(U$6:U36,W$6:W36,"Approved"))</f>
        <v/>
      </c>
      <c r="AE37" s="41">
        <f>IF($A37="","",SUMIFS(V$6:V36,W$6:W36,"Approved"))</f>
        <v/>
      </c>
      <c r="AF37" s="36" t="n"/>
      <c r="AG37" s="36" t="n"/>
    </row>
    <row r="38">
      <c r="A38" s="34" t="n"/>
      <c r="B38" s="35" t="n"/>
      <c r="C38" s="36" t="n"/>
      <c r="D38" s="36" t="n"/>
      <c r="E38" s="34" t="n"/>
      <c r="F38" s="36" t="n"/>
      <c r="G38" s="34" t="n"/>
      <c r="H38" s="35" t="n"/>
      <c r="I38" s="34" t="n"/>
      <c r="J38" s="37" t="n"/>
      <c r="K38" s="37" t="n"/>
      <c r="L38" s="37" t="n"/>
      <c r="M38" s="37" t="n"/>
      <c r="N38" s="37" t="n"/>
      <c r="O38" s="38">
        <f>IF($A38="","",SUM(J38:N38))</f>
        <v/>
      </c>
      <c r="P38" s="38">
        <f>IF($A38="","",ROUND((N(J38)+N(K38)+N(L38)+N(N38))*'Contract'!$B$12,2))</f>
        <v/>
      </c>
      <c r="Q38" s="38">
        <f>IF($A38="","",ROUND(N(M38)*'Contract'!$B$13,2))</f>
        <v/>
      </c>
      <c r="R38" s="38">
        <f>IF($A38="","",ROUND((O38+P38+Q38)*'Contract'!$B$14,2))</f>
        <v/>
      </c>
      <c r="S38" s="38">
        <f>IF($A38="","",O38+P38+Q38+R38)</f>
        <v/>
      </c>
      <c r="T38" s="37" t="n"/>
      <c r="U38" s="39">
        <f>IF($A38="","",IF(ISNUMBER(T38),T38,S38))</f>
        <v/>
      </c>
      <c r="V38" s="40" t="n"/>
      <c r="W38" s="34" t="n"/>
      <c r="X38" s="35" t="n"/>
      <c r="Y38" s="35" t="n"/>
      <c r="Z38" s="34" t="n"/>
      <c r="AA38" s="35" t="n"/>
      <c r="AB38" s="41">
        <f>IF(OR($A38="",AND(W38&lt;&gt;"Submitted",W38&lt;&gt;"Directive: price open",W38&lt;&gt;"Pricing")),"",'Contract'!$B$16-IF(ISNUMBER(X38),X38,IF(ISNUMBER(H38),H38,B38)))</f>
        <v/>
      </c>
      <c r="AC38" s="42">
        <f>IF($A38="","",IF(W38="","Set a status",IF(W38="Approved",IF(Y38="","Approved: enter the date it was signed","Signed"),IF(OR(W38="Rejected",W38="Void"),W38,IF(AND(G38="Verbal",H38=""),"Verbal only: confirm it in writing today",IF(AND(ISNUMBER(AA38),W38="Pricing"),"Work started, not yet priced",IF(AND(ISNUMBER(AA38),W38="Submitted"),"Work started, not signed",IF(W38="Directive: price open","Going ahead under a directive: agree the price",IF(AND(ISNUMBER(AB38),AB38&gt;'Contract'!$B$15),"Chase: waiting "&amp;AB38&amp;" days",IF(W38="Pricing","Price it and send it","Waiting for signature"))))))))))</f>
        <v/>
      </c>
      <c r="AD38" s="38">
        <f>IF($A38="","",SUMIFS(U$6:U37,W$6:W37,"Approved"))</f>
        <v/>
      </c>
      <c r="AE38" s="41">
        <f>IF($A38="","",SUMIFS(V$6:V37,W$6:W37,"Approved"))</f>
        <v/>
      </c>
      <c r="AF38" s="36" t="n"/>
      <c r="AG38" s="36" t="n"/>
    </row>
    <row r="39">
      <c r="A39" s="34" t="n"/>
      <c r="B39" s="35" t="n"/>
      <c r="C39" s="36" t="n"/>
      <c r="D39" s="36" t="n"/>
      <c r="E39" s="34" t="n"/>
      <c r="F39" s="36" t="n"/>
      <c r="G39" s="34" t="n"/>
      <c r="H39" s="35" t="n"/>
      <c r="I39" s="34" t="n"/>
      <c r="J39" s="37" t="n"/>
      <c r="K39" s="37" t="n"/>
      <c r="L39" s="37" t="n"/>
      <c r="M39" s="37" t="n"/>
      <c r="N39" s="37" t="n"/>
      <c r="O39" s="38">
        <f>IF($A39="","",SUM(J39:N39))</f>
        <v/>
      </c>
      <c r="P39" s="38">
        <f>IF($A39="","",ROUND((N(J39)+N(K39)+N(L39)+N(N39))*'Contract'!$B$12,2))</f>
        <v/>
      </c>
      <c r="Q39" s="38">
        <f>IF($A39="","",ROUND(N(M39)*'Contract'!$B$13,2))</f>
        <v/>
      </c>
      <c r="R39" s="38">
        <f>IF($A39="","",ROUND((O39+P39+Q39)*'Contract'!$B$14,2))</f>
        <v/>
      </c>
      <c r="S39" s="38">
        <f>IF($A39="","",O39+P39+Q39+R39)</f>
        <v/>
      </c>
      <c r="T39" s="37" t="n"/>
      <c r="U39" s="39">
        <f>IF($A39="","",IF(ISNUMBER(T39),T39,S39))</f>
        <v/>
      </c>
      <c r="V39" s="40" t="n"/>
      <c r="W39" s="34" t="n"/>
      <c r="X39" s="35" t="n"/>
      <c r="Y39" s="35" t="n"/>
      <c r="Z39" s="34" t="n"/>
      <c r="AA39" s="35" t="n"/>
      <c r="AB39" s="41">
        <f>IF(OR($A39="",AND(W39&lt;&gt;"Submitted",W39&lt;&gt;"Directive: price open",W39&lt;&gt;"Pricing")),"",'Contract'!$B$16-IF(ISNUMBER(X39),X39,IF(ISNUMBER(H39),H39,B39)))</f>
        <v/>
      </c>
      <c r="AC39" s="42">
        <f>IF($A39="","",IF(W39="","Set a status",IF(W39="Approved",IF(Y39="","Approved: enter the date it was signed","Signed"),IF(OR(W39="Rejected",W39="Void"),W39,IF(AND(G39="Verbal",H39=""),"Verbal only: confirm it in writing today",IF(AND(ISNUMBER(AA39),W39="Pricing"),"Work started, not yet priced",IF(AND(ISNUMBER(AA39),W39="Submitted"),"Work started, not signed",IF(W39="Directive: price open","Going ahead under a directive: agree the price",IF(AND(ISNUMBER(AB39),AB39&gt;'Contract'!$B$15),"Chase: waiting "&amp;AB39&amp;" days",IF(W39="Pricing","Price it and send it","Waiting for signature"))))))))))</f>
        <v/>
      </c>
      <c r="AD39" s="38">
        <f>IF($A39="","",SUMIFS(U$6:U38,W$6:W38,"Approved"))</f>
        <v/>
      </c>
      <c r="AE39" s="41">
        <f>IF($A39="","",SUMIFS(V$6:V38,W$6:W38,"Approved"))</f>
        <v/>
      </c>
      <c r="AF39" s="36" t="n"/>
      <c r="AG39" s="36" t="n"/>
    </row>
    <row r="40">
      <c r="A40" s="34" t="n"/>
      <c r="B40" s="35" t="n"/>
      <c r="C40" s="36" t="n"/>
      <c r="D40" s="36" t="n"/>
      <c r="E40" s="34" t="n"/>
      <c r="F40" s="36" t="n"/>
      <c r="G40" s="34" t="n"/>
      <c r="H40" s="35" t="n"/>
      <c r="I40" s="34" t="n"/>
      <c r="J40" s="37" t="n"/>
      <c r="K40" s="37" t="n"/>
      <c r="L40" s="37" t="n"/>
      <c r="M40" s="37" t="n"/>
      <c r="N40" s="37" t="n"/>
      <c r="O40" s="38">
        <f>IF($A40="","",SUM(J40:N40))</f>
        <v/>
      </c>
      <c r="P40" s="38">
        <f>IF($A40="","",ROUND((N(J40)+N(K40)+N(L40)+N(N40))*'Contract'!$B$12,2))</f>
        <v/>
      </c>
      <c r="Q40" s="38">
        <f>IF($A40="","",ROUND(N(M40)*'Contract'!$B$13,2))</f>
        <v/>
      </c>
      <c r="R40" s="38">
        <f>IF($A40="","",ROUND((O40+P40+Q40)*'Contract'!$B$14,2))</f>
        <v/>
      </c>
      <c r="S40" s="38">
        <f>IF($A40="","",O40+P40+Q40+R40)</f>
        <v/>
      </c>
      <c r="T40" s="37" t="n"/>
      <c r="U40" s="39">
        <f>IF($A40="","",IF(ISNUMBER(T40),T40,S40))</f>
        <v/>
      </c>
      <c r="V40" s="40" t="n"/>
      <c r="W40" s="34" t="n"/>
      <c r="X40" s="35" t="n"/>
      <c r="Y40" s="35" t="n"/>
      <c r="Z40" s="34" t="n"/>
      <c r="AA40" s="35" t="n"/>
      <c r="AB40" s="41">
        <f>IF(OR($A40="",AND(W40&lt;&gt;"Submitted",W40&lt;&gt;"Directive: price open",W40&lt;&gt;"Pricing")),"",'Contract'!$B$16-IF(ISNUMBER(X40),X40,IF(ISNUMBER(H40),H40,B40)))</f>
        <v/>
      </c>
      <c r="AC40" s="42">
        <f>IF($A40="","",IF(W40="","Set a status",IF(W40="Approved",IF(Y40="","Approved: enter the date it was signed","Signed"),IF(OR(W40="Rejected",W40="Void"),W40,IF(AND(G40="Verbal",H40=""),"Verbal only: confirm it in writing today",IF(AND(ISNUMBER(AA40),W40="Pricing"),"Work started, not yet priced",IF(AND(ISNUMBER(AA40),W40="Submitted"),"Work started, not signed",IF(W40="Directive: price open","Going ahead under a directive: agree the price",IF(AND(ISNUMBER(AB40),AB40&gt;'Contract'!$B$15),"Chase: waiting "&amp;AB40&amp;" days",IF(W40="Pricing","Price it and send it","Waiting for signature"))))))))))</f>
        <v/>
      </c>
      <c r="AD40" s="38">
        <f>IF($A40="","",SUMIFS(U$6:U39,W$6:W39,"Approved"))</f>
        <v/>
      </c>
      <c r="AE40" s="41">
        <f>IF($A40="","",SUMIFS(V$6:V39,W$6:W39,"Approved"))</f>
        <v/>
      </c>
      <c r="AF40" s="36" t="n"/>
      <c r="AG40" s="36" t="n"/>
    </row>
    <row r="41">
      <c r="A41" s="34" t="n"/>
      <c r="B41" s="35" t="n"/>
      <c r="C41" s="36" t="n"/>
      <c r="D41" s="36" t="n"/>
      <c r="E41" s="34" t="n"/>
      <c r="F41" s="36" t="n"/>
      <c r="G41" s="34" t="n"/>
      <c r="H41" s="35" t="n"/>
      <c r="I41" s="34" t="n"/>
      <c r="J41" s="37" t="n"/>
      <c r="K41" s="37" t="n"/>
      <c r="L41" s="37" t="n"/>
      <c r="M41" s="37" t="n"/>
      <c r="N41" s="37" t="n"/>
      <c r="O41" s="38">
        <f>IF($A41="","",SUM(J41:N41))</f>
        <v/>
      </c>
      <c r="P41" s="38">
        <f>IF($A41="","",ROUND((N(J41)+N(K41)+N(L41)+N(N41))*'Contract'!$B$12,2))</f>
        <v/>
      </c>
      <c r="Q41" s="38">
        <f>IF($A41="","",ROUND(N(M41)*'Contract'!$B$13,2))</f>
        <v/>
      </c>
      <c r="R41" s="38">
        <f>IF($A41="","",ROUND((O41+P41+Q41)*'Contract'!$B$14,2))</f>
        <v/>
      </c>
      <c r="S41" s="38">
        <f>IF($A41="","",O41+P41+Q41+R41)</f>
        <v/>
      </c>
      <c r="T41" s="37" t="n"/>
      <c r="U41" s="39">
        <f>IF($A41="","",IF(ISNUMBER(T41),T41,S41))</f>
        <v/>
      </c>
      <c r="V41" s="40" t="n"/>
      <c r="W41" s="34" t="n"/>
      <c r="X41" s="35" t="n"/>
      <c r="Y41" s="35" t="n"/>
      <c r="Z41" s="34" t="n"/>
      <c r="AA41" s="35" t="n"/>
      <c r="AB41" s="41">
        <f>IF(OR($A41="",AND(W41&lt;&gt;"Submitted",W41&lt;&gt;"Directive: price open",W41&lt;&gt;"Pricing")),"",'Contract'!$B$16-IF(ISNUMBER(X41),X41,IF(ISNUMBER(H41),H41,B41)))</f>
        <v/>
      </c>
      <c r="AC41" s="42">
        <f>IF($A41="","",IF(W41="","Set a status",IF(W41="Approved",IF(Y41="","Approved: enter the date it was signed","Signed"),IF(OR(W41="Rejected",W41="Void"),W41,IF(AND(G41="Verbal",H41=""),"Verbal only: confirm it in writing today",IF(AND(ISNUMBER(AA41),W41="Pricing"),"Work started, not yet priced",IF(AND(ISNUMBER(AA41),W41="Submitted"),"Work started, not signed",IF(W41="Directive: price open","Going ahead under a directive: agree the price",IF(AND(ISNUMBER(AB41),AB41&gt;'Contract'!$B$15),"Chase: waiting "&amp;AB41&amp;" days",IF(W41="Pricing","Price it and send it","Waiting for signature"))))))))))</f>
        <v/>
      </c>
      <c r="AD41" s="38">
        <f>IF($A41="","",SUMIFS(U$6:U40,W$6:W40,"Approved"))</f>
        <v/>
      </c>
      <c r="AE41" s="41">
        <f>IF($A41="","",SUMIFS(V$6:V40,W$6:W40,"Approved"))</f>
        <v/>
      </c>
      <c r="AF41" s="36" t="n"/>
      <c r="AG41" s="36" t="n"/>
    </row>
    <row r="42">
      <c r="A42" s="34" t="n"/>
      <c r="B42" s="35" t="n"/>
      <c r="C42" s="36" t="n"/>
      <c r="D42" s="36" t="n"/>
      <c r="E42" s="34" t="n"/>
      <c r="F42" s="36" t="n"/>
      <c r="G42" s="34" t="n"/>
      <c r="H42" s="35" t="n"/>
      <c r="I42" s="34" t="n"/>
      <c r="J42" s="37" t="n"/>
      <c r="K42" s="37" t="n"/>
      <c r="L42" s="37" t="n"/>
      <c r="M42" s="37" t="n"/>
      <c r="N42" s="37" t="n"/>
      <c r="O42" s="38">
        <f>IF($A42="","",SUM(J42:N42))</f>
        <v/>
      </c>
      <c r="P42" s="38">
        <f>IF($A42="","",ROUND((N(J42)+N(K42)+N(L42)+N(N42))*'Contract'!$B$12,2))</f>
        <v/>
      </c>
      <c r="Q42" s="38">
        <f>IF($A42="","",ROUND(N(M42)*'Contract'!$B$13,2))</f>
        <v/>
      </c>
      <c r="R42" s="38">
        <f>IF($A42="","",ROUND((O42+P42+Q42)*'Contract'!$B$14,2))</f>
        <v/>
      </c>
      <c r="S42" s="38">
        <f>IF($A42="","",O42+P42+Q42+R42)</f>
        <v/>
      </c>
      <c r="T42" s="37" t="n"/>
      <c r="U42" s="39">
        <f>IF($A42="","",IF(ISNUMBER(T42),T42,S42))</f>
        <v/>
      </c>
      <c r="V42" s="40" t="n"/>
      <c r="W42" s="34" t="n"/>
      <c r="X42" s="35" t="n"/>
      <c r="Y42" s="35" t="n"/>
      <c r="Z42" s="34" t="n"/>
      <c r="AA42" s="35" t="n"/>
      <c r="AB42" s="41">
        <f>IF(OR($A42="",AND(W42&lt;&gt;"Submitted",W42&lt;&gt;"Directive: price open",W42&lt;&gt;"Pricing")),"",'Contract'!$B$16-IF(ISNUMBER(X42),X42,IF(ISNUMBER(H42),H42,B42)))</f>
        <v/>
      </c>
      <c r="AC42" s="42">
        <f>IF($A42="","",IF(W42="","Set a status",IF(W42="Approved",IF(Y42="","Approved: enter the date it was signed","Signed"),IF(OR(W42="Rejected",W42="Void"),W42,IF(AND(G42="Verbal",H42=""),"Verbal only: confirm it in writing today",IF(AND(ISNUMBER(AA42),W42="Pricing"),"Work started, not yet priced",IF(AND(ISNUMBER(AA42),W42="Submitted"),"Work started, not signed",IF(W42="Directive: price open","Going ahead under a directive: agree the price",IF(AND(ISNUMBER(AB42),AB42&gt;'Contract'!$B$15),"Chase: waiting "&amp;AB42&amp;" days",IF(W42="Pricing","Price it and send it","Waiting for signature"))))))))))</f>
        <v/>
      </c>
      <c r="AD42" s="38">
        <f>IF($A42="","",SUMIFS(U$6:U41,W$6:W41,"Approved"))</f>
        <v/>
      </c>
      <c r="AE42" s="41">
        <f>IF($A42="","",SUMIFS(V$6:V41,W$6:W41,"Approved"))</f>
        <v/>
      </c>
      <c r="AF42" s="36" t="n"/>
      <c r="AG42" s="36" t="n"/>
    </row>
    <row r="43">
      <c r="A43" s="34" t="n"/>
      <c r="B43" s="35" t="n"/>
      <c r="C43" s="36" t="n"/>
      <c r="D43" s="36" t="n"/>
      <c r="E43" s="34" t="n"/>
      <c r="F43" s="36" t="n"/>
      <c r="G43" s="34" t="n"/>
      <c r="H43" s="35" t="n"/>
      <c r="I43" s="34" t="n"/>
      <c r="J43" s="37" t="n"/>
      <c r="K43" s="37" t="n"/>
      <c r="L43" s="37" t="n"/>
      <c r="M43" s="37" t="n"/>
      <c r="N43" s="37" t="n"/>
      <c r="O43" s="38">
        <f>IF($A43="","",SUM(J43:N43))</f>
        <v/>
      </c>
      <c r="P43" s="38">
        <f>IF($A43="","",ROUND((N(J43)+N(K43)+N(L43)+N(N43))*'Contract'!$B$12,2))</f>
        <v/>
      </c>
      <c r="Q43" s="38">
        <f>IF($A43="","",ROUND(N(M43)*'Contract'!$B$13,2))</f>
        <v/>
      </c>
      <c r="R43" s="38">
        <f>IF($A43="","",ROUND((O43+P43+Q43)*'Contract'!$B$14,2))</f>
        <v/>
      </c>
      <c r="S43" s="38">
        <f>IF($A43="","",O43+P43+Q43+R43)</f>
        <v/>
      </c>
      <c r="T43" s="37" t="n"/>
      <c r="U43" s="39">
        <f>IF($A43="","",IF(ISNUMBER(T43),T43,S43))</f>
        <v/>
      </c>
      <c r="V43" s="40" t="n"/>
      <c r="W43" s="34" t="n"/>
      <c r="X43" s="35" t="n"/>
      <c r="Y43" s="35" t="n"/>
      <c r="Z43" s="34" t="n"/>
      <c r="AA43" s="35" t="n"/>
      <c r="AB43" s="41">
        <f>IF(OR($A43="",AND(W43&lt;&gt;"Submitted",W43&lt;&gt;"Directive: price open",W43&lt;&gt;"Pricing")),"",'Contract'!$B$16-IF(ISNUMBER(X43),X43,IF(ISNUMBER(H43),H43,B43)))</f>
        <v/>
      </c>
      <c r="AC43" s="42">
        <f>IF($A43="","",IF(W43="","Set a status",IF(W43="Approved",IF(Y43="","Approved: enter the date it was signed","Signed"),IF(OR(W43="Rejected",W43="Void"),W43,IF(AND(G43="Verbal",H43=""),"Verbal only: confirm it in writing today",IF(AND(ISNUMBER(AA43),W43="Pricing"),"Work started, not yet priced",IF(AND(ISNUMBER(AA43),W43="Submitted"),"Work started, not signed",IF(W43="Directive: price open","Going ahead under a directive: agree the price",IF(AND(ISNUMBER(AB43),AB43&gt;'Contract'!$B$15),"Chase: waiting "&amp;AB43&amp;" days",IF(W43="Pricing","Price it and send it","Waiting for signature"))))))))))</f>
        <v/>
      </c>
      <c r="AD43" s="38">
        <f>IF($A43="","",SUMIFS(U$6:U42,W$6:W42,"Approved"))</f>
        <v/>
      </c>
      <c r="AE43" s="41">
        <f>IF($A43="","",SUMIFS(V$6:V42,W$6:W42,"Approved"))</f>
        <v/>
      </c>
      <c r="AF43" s="36" t="n"/>
      <c r="AG43" s="36" t="n"/>
    </row>
    <row r="44">
      <c r="A44" s="34" t="n"/>
      <c r="B44" s="35" t="n"/>
      <c r="C44" s="36" t="n"/>
      <c r="D44" s="36" t="n"/>
      <c r="E44" s="34" t="n"/>
      <c r="F44" s="36" t="n"/>
      <c r="G44" s="34" t="n"/>
      <c r="H44" s="35" t="n"/>
      <c r="I44" s="34" t="n"/>
      <c r="J44" s="37" t="n"/>
      <c r="K44" s="37" t="n"/>
      <c r="L44" s="37" t="n"/>
      <c r="M44" s="37" t="n"/>
      <c r="N44" s="37" t="n"/>
      <c r="O44" s="38">
        <f>IF($A44="","",SUM(J44:N44))</f>
        <v/>
      </c>
      <c r="P44" s="38">
        <f>IF($A44="","",ROUND((N(J44)+N(K44)+N(L44)+N(N44))*'Contract'!$B$12,2))</f>
        <v/>
      </c>
      <c r="Q44" s="38">
        <f>IF($A44="","",ROUND(N(M44)*'Contract'!$B$13,2))</f>
        <v/>
      </c>
      <c r="R44" s="38">
        <f>IF($A44="","",ROUND((O44+P44+Q44)*'Contract'!$B$14,2))</f>
        <v/>
      </c>
      <c r="S44" s="38">
        <f>IF($A44="","",O44+P44+Q44+R44)</f>
        <v/>
      </c>
      <c r="T44" s="37" t="n"/>
      <c r="U44" s="39">
        <f>IF($A44="","",IF(ISNUMBER(T44),T44,S44))</f>
        <v/>
      </c>
      <c r="V44" s="40" t="n"/>
      <c r="W44" s="34" t="n"/>
      <c r="X44" s="35" t="n"/>
      <c r="Y44" s="35" t="n"/>
      <c r="Z44" s="34" t="n"/>
      <c r="AA44" s="35" t="n"/>
      <c r="AB44" s="41">
        <f>IF(OR($A44="",AND(W44&lt;&gt;"Submitted",W44&lt;&gt;"Directive: price open",W44&lt;&gt;"Pricing")),"",'Contract'!$B$16-IF(ISNUMBER(X44),X44,IF(ISNUMBER(H44),H44,B44)))</f>
        <v/>
      </c>
      <c r="AC44" s="42">
        <f>IF($A44="","",IF(W44="","Set a status",IF(W44="Approved",IF(Y44="","Approved: enter the date it was signed","Signed"),IF(OR(W44="Rejected",W44="Void"),W44,IF(AND(G44="Verbal",H44=""),"Verbal only: confirm it in writing today",IF(AND(ISNUMBER(AA44),W44="Pricing"),"Work started, not yet priced",IF(AND(ISNUMBER(AA44),W44="Submitted"),"Work started, not signed",IF(W44="Directive: price open","Going ahead under a directive: agree the price",IF(AND(ISNUMBER(AB44),AB44&gt;'Contract'!$B$15),"Chase: waiting "&amp;AB44&amp;" days",IF(W44="Pricing","Price it and send it","Waiting for signature"))))))))))</f>
        <v/>
      </c>
      <c r="AD44" s="38">
        <f>IF($A44="","",SUMIFS(U$6:U43,W$6:W43,"Approved"))</f>
        <v/>
      </c>
      <c r="AE44" s="41">
        <f>IF($A44="","",SUMIFS(V$6:V43,W$6:W43,"Approved"))</f>
        <v/>
      </c>
      <c r="AF44" s="36" t="n"/>
      <c r="AG44" s="36" t="n"/>
    </row>
    <row r="45">
      <c r="A45" s="34" t="n"/>
      <c r="B45" s="35" t="n"/>
      <c r="C45" s="36" t="n"/>
      <c r="D45" s="36" t="n"/>
      <c r="E45" s="34" t="n"/>
      <c r="F45" s="36" t="n"/>
      <c r="G45" s="34" t="n"/>
      <c r="H45" s="35" t="n"/>
      <c r="I45" s="34" t="n"/>
      <c r="J45" s="37" t="n"/>
      <c r="K45" s="37" t="n"/>
      <c r="L45" s="37" t="n"/>
      <c r="M45" s="37" t="n"/>
      <c r="N45" s="37" t="n"/>
      <c r="O45" s="38">
        <f>IF($A45="","",SUM(J45:N45))</f>
        <v/>
      </c>
      <c r="P45" s="38">
        <f>IF($A45="","",ROUND((N(J45)+N(K45)+N(L45)+N(N45))*'Contract'!$B$12,2))</f>
        <v/>
      </c>
      <c r="Q45" s="38">
        <f>IF($A45="","",ROUND(N(M45)*'Contract'!$B$13,2))</f>
        <v/>
      </c>
      <c r="R45" s="38">
        <f>IF($A45="","",ROUND((O45+P45+Q45)*'Contract'!$B$14,2))</f>
        <v/>
      </c>
      <c r="S45" s="38">
        <f>IF($A45="","",O45+P45+Q45+R45)</f>
        <v/>
      </c>
      <c r="T45" s="37" t="n"/>
      <c r="U45" s="39">
        <f>IF($A45="","",IF(ISNUMBER(T45),T45,S45))</f>
        <v/>
      </c>
      <c r="V45" s="40" t="n"/>
      <c r="W45" s="34" t="n"/>
      <c r="X45" s="35" t="n"/>
      <c r="Y45" s="35" t="n"/>
      <c r="Z45" s="34" t="n"/>
      <c r="AA45" s="35" t="n"/>
      <c r="AB45" s="41">
        <f>IF(OR($A45="",AND(W45&lt;&gt;"Submitted",W45&lt;&gt;"Directive: price open",W45&lt;&gt;"Pricing")),"",'Contract'!$B$16-IF(ISNUMBER(X45),X45,IF(ISNUMBER(H45),H45,B45)))</f>
        <v/>
      </c>
      <c r="AC45" s="42">
        <f>IF($A45="","",IF(W45="","Set a status",IF(W45="Approved",IF(Y45="","Approved: enter the date it was signed","Signed"),IF(OR(W45="Rejected",W45="Void"),W45,IF(AND(G45="Verbal",H45=""),"Verbal only: confirm it in writing today",IF(AND(ISNUMBER(AA45),W45="Pricing"),"Work started, not yet priced",IF(AND(ISNUMBER(AA45),W45="Submitted"),"Work started, not signed",IF(W45="Directive: price open","Going ahead under a directive: agree the price",IF(AND(ISNUMBER(AB45),AB45&gt;'Contract'!$B$15),"Chase: waiting "&amp;AB45&amp;" days",IF(W45="Pricing","Price it and send it","Waiting for signature"))))))))))</f>
        <v/>
      </c>
      <c r="AD45" s="38">
        <f>IF($A45="","",SUMIFS(U$6:U44,W$6:W44,"Approved"))</f>
        <v/>
      </c>
      <c r="AE45" s="41">
        <f>IF($A45="","",SUMIFS(V$6:V44,W$6:W44,"Approved"))</f>
        <v/>
      </c>
      <c r="AF45" s="36" t="n"/>
      <c r="AG45" s="36" t="n"/>
    </row>
    <row r="46">
      <c r="A46" s="34" t="n"/>
      <c r="B46" s="35" t="n"/>
      <c r="C46" s="36" t="n"/>
      <c r="D46" s="36" t="n"/>
      <c r="E46" s="34" t="n"/>
      <c r="F46" s="36" t="n"/>
      <c r="G46" s="34" t="n"/>
      <c r="H46" s="35" t="n"/>
      <c r="I46" s="34" t="n"/>
      <c r="J46" s="37" t="n"/>
      <c r="K46" s="37" t="n"/>
      <c r="L46" s="37" t="n"/>
      <c r="M46" s="37" t="n"/>
      <c r="N46" s="37" t="n"/>
      <c r="O46" s="38">
        <f>IF($A46="","",SUM(J46:N46))</f>
        <v/>
      </c>
      <c r="P46" s="38">
        <f>IF($A46="","",ROUND((N(J46)+N(K46)+N(L46)+N(N46))*'Contract'!$B$12,2))</f>
        <v/>
      </c>
      <c r="Q46" s="38">
        <f>IF($A46="","",ROUND(N(M46)*'Contract'!$B$13,2))</f>
        <v/>
      </c>
      <c r="R46" s="38">
        <f>IF($A46="","",ROUND((O46+P46+Q46)*'Contract'!$B$14,2))</f>
        <v/>
      </c>
      <c r="S46" s="38">
        <f>IF($A46="","",O46+P46+Q46+R46)</f>
        <v/>
      </c>
      <c r="T46" s="37" t="n"/>
      <c r="U46" s="39">
        <f>IF($A46="","",IF(ISNUMBER(T46),T46,S46))</f>
        <v/>
      </c>
      <c r="V46" s="40" t="n"/>
      <c r="W46" s="34" t="n"/>
      <c r="X46" s="35" t="n"/>
      <c r="Y46" s="35" t="n"/>
      <c r="Z46" s="34" t="n"/>
      <c r="AA46" s="35" t="n"/>
      <c r="AB46" s="41">
        <f>IF(OR($A46="",AND(W46&lt;&gt;"Submitted",W46&lt;&gt;"Directive: price open",W46&lt;&gt;"Pricing")),"",'Contract'!$B$16-IF(ISNUMBER(X46),X46,IF(ISNUMBER(H46),H46,B46)))</f>
        <v/>
      </c>
      <c r="AC46" s="42">
        <f>IF($A46="","",IF(W46="","Set a status",IF(W46="Approved",IF(Y46="","Approved: enter the date it was signed","Signed"),IF(OR(W46="Rejected",W46="Void"),W46,IF(AND(G46="Verbal",H46=""),"Verbal only: confirm it in writing today",IF(AND(ISNUMBER(AA46),W46="Pricing"),"Work started, not yet priced",IF(AND(ISNUMBER(AA46),W46="Submitted"),"Work started, not signed",IF(W46="Directive: price open","Going ahead under a directive: agree the price",IF(AND(ISNUMBER(AB46),AB46&gt;'Contract'!$B$15),"Chase: waiting "&amp;AB46&amp;" days",IF(W46="Pricing","Price it and send it","Waiting for signature"))))))))))</f>
        <v/>
      </c>
      <c r="AD46" s="38">
        <f>IF($A46="","",SUMIFS(U$6:U45,W$6:W45,"Approved"))</f>
        <v/>
      </c>
      <c r="AE46" s="41">
        <f>IF($A46="","",SUMIFS(V$6:V45,W$6:W45,"Approved"))</f>
        <v/>
      </c>
      <c r="AF46" s="36" t="n"/>
      <c r="AG46" s="36" t="n"/>
    </row>
    <row r="47">
      <c r="A47" s="34" t="n"/>
      <c r="B47" s="35" t="n"/>
      <c r="C47" s="36" t="n"/>
      <c r="D47" s="36" t="n"/>
      <c r="E47" s="34" t="n"/>
      <c r="F47" s="36" t="n"/>
      <c r="G47" s="34" t="n"/>
      <c r="H47" s="35" t="n"/>
      <c r="I47" s="34" t="n"/>
      <c r="J47" s="37" t="n"/>
      <c r="K47" s="37" t="n"/>
      <c r="L47" s="37" t="n"/>
      <c r="M47" s="37" t="n"/>
      <c r="N47" s="37" t="n"/>
      <c r="O47" s="38">
        <f>IF($A47="","",SUM(J47:N47))</f>
        <v/>
      </c>
      <c r="P47" s="38">
        <f>IF($A47="","",ROUND((N(J47)+N(K47)+N(L47)+N(N47))*'Contract'!$B$12,2))</f>
        <v/>
      </c>
      <c r="Q47" s="38">
        <f>IF($A47="","",ROUND(N(M47)*'Contract'!$B$13,2))</f>
        <v/>
      </c>
      <c r="R47" s="38">
        <f>IF($A47="","",ROUND((O47+P47+Q47)*'Contract'!$B$14,2))</f>
        <v/>
      </c>
      <c r="S47" s="38">
        <f>IF($A47="","",O47+P47+Q47+R47)</f>
        <v/>
      </c>
      <c r="T47" s="37" t="n"/>
      <c r="U47" s="39">
        <f>IF($A47="","",IF(ISNUMBER(T47),T47,S47))</f>
        <v/>
      </c>
      <c r="V47" s="40" t="n"/>
      <c r="W47" s="34" t="n"/>
      <c r="X47" s="35" t="n"/>
      <c r="Y47" s="35" t="n"/>
      <c r="Z47" s="34" t="n"/>
      <c r="AA47" s="35" t="n"/>
      <c r="AB47" s="41">
        <f>IF(OR($A47="",AND(W47&lt;&gt;"Submitted",W47&lt;&gt;"Directive: price open",W47&lt;&gt;"Pricing")),"",'Contract'!$B$16-IF(ISNUMBER(X47),X47,IF(ISNUMBER(H47),H47,B47)))</f>
        <v/>
      </c>
      <c r="AC47" s="42">
        <f>IF($A47="","",IF(W47="","Set a status",IF(W47="Approved",IF(Y47="","Approved: enter the date it was signed","Signed"),IF(OR(W47="Rejected",W47="Void"),W47,IF(AND(G47="Verbal",H47=""),"Verbal only: confirm it in writing today",IF(AND(ISNUMBER(AA47),W47="Pricing"),"Work started, not yet priced",IF(AND(ISNUMBER(AA47),W47="Submitted"),"Work started, not signed",IF(W47="Directive: price open","Going ahead under a directive: agree the price",IF(AND(ISNUMBER(AB47),AB47&gt;'Contract'!$B$15),"Chase: waiting "&amp;AB47&amp;" days",IF(W47="Pricing","Price it and send it","Waiting for signature"))))))))))</f>
        <v/>
      </c>
      <c r="AD47" s="38">
        <f>IF($A47="","",SUMIFS(U$6:U46,W$6:W46,"Approved"))</f>
        <v/>
      </c>
      <c r="AE47" s="41">
        <f>IF($A47="","",SUMIFS(V$6:V46,W$6:W46,"Approved"))</f>
        <v/>
      </c>
      <c r="AF47" s="36" t="n"/>
      <c r="AG47" s="36" t="n"/>
    </row>
    <row r="48">
      <c r="A48" s="34" t="n"/>
      <c r="B48" s="35" t="n"/>
      <c r="C48" s="36" t="n"/>
      <c r="D48" s="36" t="n"/>
      <c r="E48" s="34" t="n"/>
      <c r="F48" s="36" t="n"/>
      <c r="G48" s="34" t="n"/>
      <c r="H48" s="35" t="n"/>
      <c r="I48" s="34" t="n"/>
      <c r="J48" s="37" t="n"/>
      <c r="K48" s="37" t="n"/>
      <c r="L48" s="37" t="n"/>
      <c r="M48" s="37" t="n"/>
      <c r="N48" s="37" t="n"/>
      <c r="O48" s="38">
        <f>IF($A48="","",SUM(J48:N48))</f>
        <v/>
      </c>
      <c r="P48" s="38">
        <f>IF($A48="","",ROUND((N(J48)+N(K48)+N(L48)+N(N48))*'Contract'!$B$12,2))</f>
        <v/>
      </c>
      <c r="Q48" s="38">
        <f>IF($A48="","",ROUND(N(M48)*'Contract'!$B$13,2))</f>
        <v/>
      </c>
      <c r="R48" s="38">
        <f>IF($A48="","",ROUND((O48+P48+Q48)*'Contract'!$B$14,2))</f>
        <v/>
      </c>
      <c r="S48" s="38">
        <f>IF($A48="","",O48+P48+Q48+R48)</f>
        <v/>
      </c>
      <c r="T48" s="37" t="n"/>
      <c r="U48" s="39">
        <f>IF($A48="","",IF(ISNUMBER(T48),T48,S48))</f>
        <v/>
      </c>
      <c r="V48" s="40" t="n"/>
      <c r="W48" s="34" t="n"/>
      <c r="X48" s="35" t="n"/>
      <c r="Y48" s="35" t="n"/>
      <c r="Z48" s="34" t="n"/>
      <c r="AA48" s="35" t="n"/>
      <c r="AB48" s="41">
        <f>IF(OR($A48="",AND(W48&lt;&gt;"Submitted",W48&lt;&gt;"Directive: price open",W48&lt;&gt;"Pricing")),"",'Contract'!$B$16-IF(ISNUMBER(X48),X48,IF(ISNUMBER(H48),H48,B48)))</f>
        <v/>
      </c>
      <c r="AC48" s="42">
        <f>IF($A48="","",IF(W48="","Set a status",IF(W48="Approved",IF(Y48="","Approved: enter the date it was signed","Signed"),IF(OR(W48="Rejected",W48="Void"),W48,IF(AND(G48="Verbal",H48=""),"Verbal only: confirm it in writing today",IF(AND(ISNUMBER(AA48),W48="Pricing"),"Work started, not yet priced",IF(AND(ISNUMBER(AA48),W48="Submitted"),"Work started, not signed",IF(W48="Directive: price open","Going ahead under a directive: agree the price",IF(AND(ISNUMBER(AB48),AB48&gt;'Contract'!$B$15),"Chase: waiting "&amp;AB48&amp;" days",IF(W48="Pricing","Price it and send it","Waiting for signature"))))))))))</f>
        <v/>
      </c>
      <c r="AD48" s="38">
        <f>IF($A48="","",SUMIFS(U$6:U47,W$6:W47,"Approved"))</f>
        <v/>
      </c>
      <c r="AE48" s="41">
        <f>IF($A48="","",SUMIFS(V$6:V47,W$6:W47,"Approved"))</f>
        <v/>
      </c>
      <c r="AF48" s="36" t="n"/>
      <c r="AG48" s="36" t="n"/>
    </row>
    <row r="49">
      <c r="A49" s="34" t="n"/>
      <c r="B49" s="35" t="n"/>
      <c r="C49" s="36" t="n"/>
      <c r="D49" s="36" t="n"/>
      <c r="E49" s="34" t="n"/>
      <c r="F49" s="36" t="n"/>
      <c r="G49" s="34" t="n"/>
      <c r="H49" s="35" t="n"/>
      <c r="I49" s="34" t="n"/>
      <c r="J49" s="37" t="n"/>
      <c r="K49" s="37" t="n"/>
      <c r="L49" s="37" t="n"/>
      <c r="M49" s="37" t="n"/>
      <c r="N49" s="37" t="n"/>
      <c r="O49" s="38">
        <f>IF($A49="","",SUM(J49:N49))</f>
        <v/>
      </c>
      <c r="P49" s="38">
        <f>IF($A49="","",ROUND((N(J49)+N(K49)+N(L49)+N(N49))*'Contract'!$B$12,2))</f>
        <v/>
      </c>
      <c r="Q49" s="38">
        <f>IF($A49="","",ROUND(N(M49)*'Contract'!$B$13,2))</f>
        <v/>
      </c>
      <c r="R49" s="38">
        <f>IF($A49="","",ROUND((O49+P49+Q49)*'Contract'!$B$14,2))</f>
        <v/>
      </c>
      <c r="S49" s="38">
        <f>IF($A49="","",O49+P49+Q49+R49)</f>
        <v/>
      </c>
      <c r="T49" s="37" t="n"/>
      <c r="U49" s="39">
        <f>IF($A49="","",IF(ISNUMBER(T49),T49,S49))</f>
        <v/>
      </c>
      <c r="V49" s="40" t="n"/>
      <c r="W49" s="34" t="n"/>
      <c r="X49" s="35" t="n"/>
      <c r="Y49" s="35" t="n"/>
      <c r="Z49" s="34" t="n"/>
      <c r="AA49" s="35" t="n"/>
      <c r="AB49" s="41">
        <f>IF(OR($A49="",AND(W49&lt;&gt;"Submitted",W49&lt;&gt;"Directive: price open",W49&lt;&gt;"Pricing")),"",'Contract'!$B$16-IF(ISNUMBER(X49),X49,IF(ISNUMBER(H49),H49,B49)))</f>
        <v/>
      </c>
      <c r="AC49" s="42">
        <f>IF($A49="","",IF(W49="","Set a status",IF(W49="Approved",IF(Y49="","Approved: enter the date it was signed","Signed"),IF(OR(W49="Rejected",W49="Void"),W49,IF(AND(G49="Verbal",H49=""),"Verbal only: confirm it in writing today",IF(AND(ISNUMBER(AA49),W49="Pricing"),"Work started, not yet priced",IF(AND(ISNUMBER(AA49),W49="Submitted"),"Work started, not signed",IF(W49="Directive: price open","Going ahead under a directive: agree the price",IF(AND(ISNUMBER(AB49),AB49&gt;'Contract'!$B$15),"Chase: waiting "&amp;AB49&amp;" days",IF(W49="Pricing","Price it and send it","Waiting for signature"))))))))))</f>
        <v/>
      </c>
      <c r="AD49" s="38">
        <f>IF($A49="","",SUMIFS(U$6:U48,W$6:W48,"Approved"))</f>
        <v/>
      </c>
      <c r="AE49" s="41">
        <f>IF($A49="","",SUMIFS(V$6:V48,W$6:W48,"Approved"))</f>
        <v/>
      </c>
      <c r="AF49" s="36" t="n"/>
      <c r="AG49" s="36" t="n"/>
    </row>
    <row r="50">
      <c r="A50" s="34" t="n"/>
      <c r="B50" s="35" t="n"/>
      <c r="C50" s="36" t="n"/>
      <c r="D50" s="36" t="n"/>
      <c r="E50" s="34" t="n"/>
      <c r="F50" s="36" t="n"/>
      <c r="G50" s="34" t="n"/>
      <c r="H50" s="35" t="n"/>
      <c r="I50" s="34" t="n"/>
      <c r="J50" s="37" t="n"/>
      <c r="K50" s="37" t="n"/>
      <c r="L50" s="37" t="n"/>
      <c r="M50" s="37" t="n"/>
      <c r="N50" s="37" t="n"/>
      <c r="O50" s="38">
        <f>IF($A50="","",SUM(J50:N50))</f>
        <v/>
      </c>
      <c r="P50" s="38">
        <f>IF($A50="","",ROUND((N(J50)+N(K50)+N(L50)+N(N50))*'Contract'!$B$12,2))</f>
        <v/>
      </c>
      <c r="Q50" s="38">
        <f>IF($A50="","",ROUND(N(M50)*'Contract'!$B$13,2))</f>
        <v/>
      </c>
      <c r="R50" s="38">
        <f>IF($A50="","",ROUND((O50+P50+Q50)*'Contract'!$B$14,2))</f>
        <v/>
      </c>
      <c r="S50" s="38">
        <f>IF($A50="","",O50+P50+Q50+R50)</f>
        <v/>
      </c>
      <c r="T50" s="37" t="n"/>
      <c r="U50" s="39">
        <f>IF($A50="","",IF(ISNUMBER(T50),T50,S50))</f>
        <v/>
      </c>
      <c r="V50" s="40" t="n"/>
      <c r="W50" s="34" t="n"/>
      <c r="X50" s="35" t="n"/>
      <c r="Y50" s="35" t="n"/>
      <c r="Z50" s="34" t="n"/>
      <c r="AA50" s="35" t="n"/>
      <c r="AB50" s="41">
        <f>IF(OR($A50="",AND(W50&lt;&gt;"Submitted",W50&lt;&gt;"Directive: price open",W50&lt;&gt;"Pricing")),"",'Contract'!$B$16-IF(ISNUMBER(X50),X50,IF(ISNUMBER(H50),H50,B50)))</f>
        <v/>
      </c>
      <c r="AC50" s="42">
        <f>IF($A50="","",IF(W50="","Set a status",IF(W50="Approved",IF(Y50="","Approved: enter the date it was signed","Signed"),IF(OR(W50="Rejected",W50="Void"),W50,IF(AND(G50="Verbal",H50=""),"Verbal only: confirm it in writing today",IF(AND(ISNUMBER(AA50),W50="Pricing"),"Work started, not yet priced",IF(AND(ISNUMBER(AA50),W50="Submitted"),"Work started, not signed",IF(W50="Directive: price open","Going ahead under a directive: agree the price",IF(AND(ISNUMBER(AB50),AB50&gt;'Contract'!$B$15),"Chase: waiting "&amp;AB50&amp;" days",IF(W50="Pricing","Price it and send it","Waiting for signature"))))))))))</f>
        <v/>
      </c>
      <c r="AD50" s="38">
        <f>IF($A50="","",SUMIFS(U$6:U49,W$6:W49,"Approved"))</f>
        <v/>
      </c>
      <c r="AE50" s="41">
        <f>IF($A50="","",SUMIFS(V$6:V49,W$6:W49,"Approved"))</f>
        <v/>
      </c>
      <c r="AF50" s="36" t="n"/>
      <c r="AG50" s="36" t="n"/>
    </row>
    <row r="51">
      <c r="A51" s="34" t="n"/>
      <c r="B51" s="35" t="n"/>
      <c r="C51" s="36" t="n"/>
      <c r="D51" s="36" t="n"/>
      <c r="E51" s="34" t="n"/>
      <c r="F51" s="36" t="n"/>
      <c r="G51" s="34" t="n"/>
      <c r="H51" s="35" t="n"/>
      <c r="I51" s="34" t="n"/>
      <c r="J51" s="37" t="n"/>
      <c r="K51" s="37" t="n"/>
      <c r="L51" s="37" t="n"/>
      <c r="M51" s="37" t="n"/>
      <c r="N51" s="37" t="n"/>
      <c r="O51" s="38">
        <f>IF($A51="","",SUM(J51:N51))</f>
        <v/>
      </c>
      <c r="P51" s="38">
        <f>IF($A51="","",ROUND((N(J51)+N(K51)+N(L51)+N(N51))*'Contract'!$B$12,2))</f>
        <v/>
      </c>
      <c r="Q51" s="38">
        <f>IF($A51="","",ROUND(N(M51)*'Contract'!$B$13,2))</f>
        <v/>
      </c>
      <c r="R51" s="38">
        <f>IF($A51="","",ROUND((O51+P51+Q51)*'Contract'!$B$14,2))</f>
        <v/>
      </c>
      <c r="S51" s="38">
        <f>IF($A51="","",O51+P51+Q51+R51)</f>
        <v/>
      </c>
      <c r="T51" s="37" t="n"/>
      <c r="U51" s="39">
        <f>IF($A51="","",IF(ISNUMBER(T51),T51,S51))</f>
        <v/>
      </c>
      <c r="V51" s="40" t="n"/>
      <c r="W51" s="34" t="n"/>
      <c r="X51" s="35" t="n"/>
      <c r="Y51" s="35" t="n"/>
      <c r="Z51" s="34" t="n"/>
      <c r="AA51" s="35" t="n"/>
      <c r="AB51" s="41">
        <f>IF(OR($A51="",AND(W51&lt;&gt;"Submitted",W51&lt;&gt;"Directive: price open",W51&lt;&gt;"Pricing")),"",'Contract'!$B$16-IF(ISNUMBER(X51),X51,IF(ISNUMBER(H51),H51,B51)))</f>
        <v/>
      </c>
      <c r="AC51" s="42">
        <f>IF($A51="","",IF(W51="","Set a status",IF(W51="Approved",IF(Y51="","Approved: enter the date it was signed","Signed"),IF(OR(W51="Rejected",W51="Void"),W51,IF(AND(G51="Verbal",H51=""),"Verbal only: confirm it in writing today",IF(AND(ISNUMBER(AA51),W51="Pricing"),"Work started, not yet priced",IF(AND(ISNUMBER(AA51),W51="Submitted"),"Work started, not signed",IF(W51="Directive: price open","Going ahead under a directive: agree the price",IF(AND(ISNUMBER(AB51),AB51&gt;'Contract'!$B$15),"Chase: waiting "&amp;AB51&amp;" days",IF(W51="Pricing","Price it and send it","Waiting for signature"))))))))))</f>
        <v/>
      </c>
      <c r="AD51" s="38">
        <f>IF($A51="","",SUMIFS(U$6:U50,W$6:W50,"Approved"))</f>
        <v/>
      </c>
      <c r="AE51" s="41">
        <f>IF($A51="","",SUMIFS(V$6:V50,W$6:W50,"Approved"))</f>
        <v/>
      </c>
      <c r="AF51" s="36" t="n"/>
      <c r="AG51" s="36" t="n"/>
    </row>
    <row r="52">
      <c r="A52" s="34" t="n"/>
      <c r="B52" s="35" t="n"/>
      <c r="C52" s="36" t="n"/>
      <c r="D52" s="36" t="n"/>
      <c r="E52" s="34" t="n"/>
      <c r="F52" s="36" t="n"/>
      <c r="G52" s="34" t="n"/>
      <c r="H52" s="35" t="n"/>
      <c r="I52" s="34" t="n"/>
      <c r="J52" s="37" t="n"/>
      <c r="K52" s="37" t="n"/>
      <c r="L52" s="37" t="n"/>
      <c r="M52" s="37" t="n"/>
      <c r="N52" s="37" t="n"/>
      <c r="O52" s="38">
        <f>IF($A52="","",SUM(J52:N52))</f>
        <v/>
      </c>
      <c r="P52" s="38">
        <f>IF($A52="","",ROUND((N(J52)+N(K52)+N(L52)+N(N52))*'Contract'!$B$12,2))</f>
        <v/>
      </c>
      <c r="Q52" s="38">
        <f>IF($A52="","",ROUND(N(M52)*'Contract'!$B$13,2))</f>
        <v/>
      </c>
      <c r="R52" s="38">
        <f>IF($A52="","",ROUND((O52+P52+Q52)*'Contract'!$B$14,2))</f>
        <v/>
      </c>
      <c r="S52" s="38">
        <f>IF($A52="","",O52+P52+Q52+R52)</f>
        <v/>
      </c>
      <c r="T52" s="37" t="n"/>
      <c r="U52" s="39">
        <f>IF($A52="","",IF(ISNUMBER(T52),T52,S52))</f>
        <v/>
      </c>
      <c r="V52" s="40" t="n"/>
      <c r="W52" s="34" t="n"/>
      <c r="X52" s="35" t="n"/>
      <c r="Y52" s="35" t="n"/>
      <c r="Z52" s="34" t="n"/>
      <c r="AA52" s="35" t="n"/>
      <c r="AB52" s="41">
        <f>IF(OR($A52="",AND(W52&lt;&gt;"Submitted",W52&lt;&gt;"Directive: price open",W52&lt;&gt;"Pricing")),"",'Contract'!$B$16-IF(ISNUMBER(X52),X52,IF(ISNUMBER(H52),H52,B52)))</f>
        <v/>
      </c>
      <c r="AC52" s="42">
        <f>IF($A52="","",IF(W52="","Set a status",IF(W52="Approved",IF(Y52="","Approved: enter the date it was signed","Signed"),IF(OR(W52="Rejected",W52="Void"),W52,IF(AND(G52="Verbal",H52=""),"Verbal only: confirm it in writing today",IF(AND(ISNUMBER(AA52),W52="Pricing"),"Work started, not yet priced",IF(AND(ISNUMBER(AA52),W52="Submitted"),"Work started, not signed",IF(W52="Directive: price open","Going ahead under a directive: agree the price",IF(AND(ISNUMBER(AB52),AB52&gt;'Contract'!$B$15),"Chase: waiting "&amp;AB52&amp;" days",IF(W52="Pricing","Price it and send it","Waiting for signature"))))))))))</f>
        <v/>
      </c>
      <c r="AD52" s="38">
        <f>IF($A52="","",SUMIFS(U$6:U51,W$6:W51,"Approved"))</f>
        <v/>
      </c>
      <c r="AE52" s="41">
        <f>IF($A52="","",SUMIFS(V$6:V51,W$6:W51,"Approved"))</f>
        <v/>
      </c>
      <c r="AF52" s="36" t="n"/>
      <c r="AG52" s="36" t="n"/>
    </row>
    <row r="53">
      <c r="A53" s="34" t="n"/>
      <c r="B53" s="35" t="n"/>
      <c r="C53" s="36" t="n"/>
      <c r="D53" s="36" t="n"/>
      <c r="E53" s="34" t="n"/>
      <c r="F53" s="36" t="n"/>
      <c r="G53" s="34" t="n"/>
      <c r="H53" s="35" t="n"/>
      <c r="I53" s="34" t="n"/>
      <c r="J53" s="37" t="n"/>
      <c r="K53" s="37" t="n"/>
      <c r="L53" s="37" t="n"/>
      <c r="M53" s="37" t="n"/>
      <c r="N53" s="37" t="n"/>
      <c r="O53" s="38">
        <f>IF($A53="","",SUM(J53:N53))</f>
        <v/>
      </c>
      <c r="P53" s="38">
        <f>IF($A53="","",ROUND((N(J53)+N(K53)+N(L53)+N(N53))*'Contract'!$B$12,2))</f>
        <v/>
      </c>
      <c r="Q53" s="38">
        <f>IF($A53="","",ROUND(N(M53)*'Contract'!$B$13,2))</f>
        <v/>
      </c>
      <c r="R53" s="38">
        <f>IF($A53="","",ROUND((O53+P53+Q53)*'Contract'!$B$14,2))</f>
        <v/>
      </c>
      <c r="S53" s="38">
        <f>IF($A53="","",O53+P53+Q53+R53)</f>
        <v/>
      </c>
      <c r="T53" s="37" t="n"/>
      <c r="U53" s="39">
        <f>IF($A53="","",IF(ISNUMBER(T53),T53,S53))</f>
        <v/>
      </c>
      <c r="V53" s="40" t="n"/>
      <c r="W53" s="34" t="n"/>
      <c r="X53" s="35" t="n"/>
      <c r="Y53" s="35" t="n"/>
      <c r="Z53" s="34" t="n"/>
      <c r="AA53" s="35" t="n"/>
      <c r="AB53" s="41">
        <f>IF(OR($A53="",AND(W53&lt;&gt;"Submitted",W53&lt;&gt;"Directive: price open",W53&lt;&gt;"Pricing")),"",'Contract'!$B$16-IF(ISNUMBER(X53),X53,IF(ISNUMBER(H53),H53,B53)))</f>
        <v/>
      </c>
      <c r="AC53" s="42">
        <f>IF($A53="","",IF(W53="","Set a status",IF(W53="Approved",IF(Y53="","Approved: enter the date it was signed","Signed"),IF(OR(W53="Rejected",W53="Void"),W53,IF(AND(G53="Verbal",H53=""),"Verbal only: confirm it in writing today",IF(AND(ISNUMBER(AA53),W53="Pricing"),"Work started, not yet priced",IF(AND(ISNUMBER(AA53),W53="Submitted"),"Work started, not signed",IF(W53="Directive: price open","Going ahead under a directive: agree the price",IF(AND(ISNUMBER(AB53),AB53&gt;'Contract'!$B$15),"Chase: waiting "&amp;AB53&amp;" days",IF(W53="Pricing","Price it and send it","Waiting for signature"))))))))))</f>
        <v/>
      </c>
      <c r="AD53" s="38">
        <f>IF($A53="","",SUMIFS(U$6:U52,W$6:W52,"Approved"))</f>
        <v/>
      </c>
      <c r="AE53" s="41">
        <f>IF($A53="","",SUMIFS(V$6:V52,W$6:W52,"Approved"))</f>
        <v/>
      </c>
      <c r="AF53" s="36" t="n"/>
      <c r="AG53" s="36" t="n"/>
    </row>
    <row r="54">
      <c r="A54" s="34" t="n"/>
      <c r="B54" s="35" t="n"/>
      <c r="C54" s="36" t="n"/>
      <c r="D54" s="36" t="n"/>
      <c r="E54" s="34" t="n"/>
      <c r="F54" s="36" t="n"/>
      <c r="G54" s="34" t="n"/>
      <c r="H54" s="35" t="n"/>
      <c r="I54" s="34" t="n"/>
      <c r="J54" s="37" t="n"/>
      <c r="K54" s="37" t="n"/>
      <c r="L54" s="37" t="n"/>
      <c r="M54" s="37" t="n"/>
      <c r="N54" s="37" t="n"/>
      <c r="O54" s="38">
        <f>IF($A54="","",SUM(J54:N54))</f>
        <v/>
      </c>
      <c r="P54" s="38">
        <f>IF($A54="","",ROUND((N(J54)+N(K54)+N(L54)+N(N54))*'Contract'!$B$12,2))</f>
        <v/>
      </c>
      <c r="Q54" s="38">
        <f>IF($A54="","",ROUND(N(M54)*'Contract'!$B$13,2))</f>
        <v/>
      </c>
      <c r="R54" s="38">
        <f>IF($A54="","",ROUND((O54+P54+Q54)*'Contract'!$B$14,2))</f>
        <v/>
      </c>
      <c r="S54" s="38">
        <f>IF($A54="","",O54+P54+Q54+R54)</f>
        <v/>
      </c>
      <c r="T54" s="37" t="n"/>
      <c r="U54" s="39">
        <f>IF($A54="","",IF(ISNUMBER(T54),T54,S54))</f>
        <v/>
      </c>
      <c r="V54" s="40" t="n"/>
      <c r="W54" s="34" t="n"/>
      <c r="X54" s="35" t="n"/>
      <c r="Y54" s="35" t="n"/>
      <c r="Z54" s="34" t="n"/>
      <c r="AA54" s="35" t="n"/>
      <c r="AB54" s="41">
        <f>IF(OR($A54="",AND(W54&lt;&gt;"Submitted",W54&lt;&gt;"Directive: price open",W54&lt;&gt;"Pricing")),"",'Contract'!$B$16-IF(ISNUMBER(X54),X54,IF(ISNUMBER(H54),H54,B54)))</f>
        <v/>
      </c>
      <c r="AC54" s="42">
        <f>IF($A54="","",IF(W54="","Set a status",IF(W54="Approved",IF(Y54="","Approved: enter the date it was signed","Signed"),IF(OR(W54="Rejected",W54="Void"),W54,IF(AND(G54="Verbal",H54=""),"Verbal only: confirm it in writing today",IF(AND(ISNUMBER(AA54),W54="Pricing"),"Work started, not yet priced",IF(AND(ISNUMBER(AA54),W54="Submitted"),"Work started, not signed",IF(W54="Directive: price open","Going ahead under a directive: agree the price",IF(AND(ISNUMBER(AB54),AB54&gt;'Contract'!$B$15),"Chase: waiting "&amp;AB54&amp;" days",IF(W54="Pricing","Price it and send it","Waiting for signature"))))))))))</f>
        <v/>
      </c>
      <c r="AD54" s="38">
        <f>IF($A54="","",SUMIFS(U$6:U53,W$6:W53,"Approved"))</f>
        <v/>
      </c>
      <c r="AE54" s="41">
        <f>IF($A54="","",SUMIFS(V$6:V53,W$6:W53,"Approved"))</f>
        <v/>
      </c>
      <c r="AF54" s="36" t="n"/>
      <c r="AG54" s="36" t="n"/>
    </row>
    <row r="55">
      <c r="A55" s="34" t="n"/>
      <c r="B55" s="35" t="n"/>
      <c r="C55" s="36" t="n"/>
      <c r="D55" s="36" t="n"/>
      <c r="E55" s="34" t="n"/>
      <c r="F55" s="36" t="n"/>
      <c r="G55" s="34" t="n"/>
      <c r="H55" s="35" t="n"/>
      <c r="I55" s="34" t="n"/>
      <c r="J55" s="37" t="n"/>
      <c r="K55" s="37" t="n"/>
      <c r="L55" s="37" t="n"/>
      <c r="M55" s="37" t="n"/>
      <c r="N55" s="37" t="n"/>
      <c r="O55" s="38">
        <f>IF($A55="","",SUM(J55:N55))</f>
        <v/>
      </c>
      <c r="P55" s="38">
        <f>IF($A55="","",ROUND((N(J55)+N(K55)+N(L55)+N(N55))*'Contract'!$B$12,2))</f>
        <v/>
      </c>
      <c r="Q55" s="38">
        <f>IF($A55="","",ROUND(N(M55)*'Contract'!$B$13,2))</f>
        <v/>
      </c>
      <c r="R55" s="38">
        <f>IF($A55="","",ROUND((O55+P55+Q55)*'Contract'!$B$14,2))</f>
        <v/>
      </c>
      <c r="S55" s="38">
        <f>IF($A55="","",O55+P55+Q55+R55)</f>
        <v/>
      </c>
      <c r="T55" s="37" t="n"/>
      <c r="U55" s="39">
        <f>IF($A55="","",IF(ISNUMBER(T55),T55,S55))</f>
        <v/>
      </c>
      <c r="V55" s="40" t="n"/>
      <c r="W55" s="34" t="n"/>
      <c r="X55" s="35" t="n"/>
      <c r="Y55" s="35" t="n"/>
      <c r="Z55" s="34" t="n"/>
      <c r="AA55" s="35" t="n"/>
      <c r="AB55" s="41">
        <f>IF(OR($A55="",AND(W55&lt;&gt;"Submitted",W55&lt;&gt;"Directive: price open",W55&lt;&gt;"Pricing")),"",'Contract'!$B$16-IF(ISNUMBER(X55),X55,IF(ISNUMBER(H55),H55,B55)))</f>
        <v/>
      </c>
      <c r="AC55" s="42">
        <f>IF($A55="","",IF(W55="","Set a status",IF(W55="Approved",IF(Y55="","Approved: enter the date it was signed","Signed"),IF(OR(W55="Rejected",W55="Void"),W55,IF(AND(G55="Verbal",H55=""),"Verbal only: confirm it in writing today",IF(AND(ISNUMBER(AA55),W55="Pricing"),"Work started, not yet priced",IF(AND(ISNUMBER(AA55),W55="Submitted"),"Work started, not signed",IF(W55="Directive: price open","Going ahead under a directive: agree the price",IF(AND(ISNUMBER(AB55),AB55&gt;'Contract'!$B$15),"Chase: waiting "&amp;AB55&amp;" days",IF(W55="Pricing","Price it and send it","Waiting for signature"))))))))))</f>
        <v/>
      </c>
      <c r="AD55" s="38">
        <f>IF($A55="","",SUMIFS(U$6:U54,W$6:W54,"Approved"))</f>
        <v/>
      </c>
      <c r="AE55" s="41">
        <f>IF($A55="","",SUMIFS(V$6:V54,W$6:W54,"Approved"))</f>
        <v/>
      </c>
      <c r="AF55" s="36" t="n"/>
      <c r="AG55" s="36" t="n"/>
    </row>
    <row r="56">
      <c r="A56" s="34" t="n"/>
      <c r="B56" s="35" t="n"/>
      <c r="C56" s="36" t="n"/>
      <c r="D56" s="36" t="n"/>
      <c r="E56" s="34" t="n"/>
      <c r="F56" s="36" t="n"/>
      <c r="G56" s="34" t="n"/>
      <c r="H56" s="35" t="n"/>
      <c r="I56" s="34" t="n"/>
      <c r="J56" s="37" t="n"/>
      <c r="K56" s="37" t="n"/>
      <c r="L56" s="37" t="n"/>
      <c r="M56" s="37" t="n"/>
      <c r="N56" s="37" t="n"/>
      <c r="O56" s="38">
        <f>IF($A56="","",SUM(J56:N56))</f>
        <v/>
      </c>
      <c r="P56" s="38">
        <f>IF($A56="","",ROUND((N(J56)+N(K56)+N(L56)+N(N56))*'Contract'!$B$12,2))</f>
        <v/>
      </c>
      <c r="Q56" s="38">
        <f>IF($A56="","",ROUND(N(M56)*'Contract'!$B$13,2))</f>
        <v/>
      </c>
      <c r="R56" s="38">
        <f>IF($A56="","",ROUND((O56+P56+Q56)*'Contract'!$B$14,2))</f>
        <v/>
      </c>
      <c r="S56" s="38">
        <f>IF($A56="","",O56+P56+Q56+R56)</f>
        <v/>
      </c>
      <c r="T56" s="37" t="n"/>
      <c r="U56" s="39">
        <f>IF($A56="","",IF(ISNUMBER(T56),T56,S56))</f>
        <v/>
      </c>
      <c r="V56" s="40" t="n"/>
      <c r="W56" s="34" t="n"/>
      <c r="X56" s="35" t="n"/>
      <c r="Y56" s="35" t="n"/>
      <c r="Z56" s="34" t="n"/>
      <c r="AA56" s="35" t="n"/>
      <c r="AB56" s="41">
        <f>IF(OR($A56="",AND(W56&lt;&gt;"Submitted",W56&lt;&gt;"Directive: price open",W56&lt;&gt;"Pricing")),"",'Contract'!$B$16-IF(ISNUMBER(X56),X56,IF(ISNUMBER(H56),H56,B56)))</f>
        <v/>
      </c>
      <c r="AC56" s="42">
        <f>IF($A56="","",IF(W56="","Set a status",IF(W56="Approved",IF(Y56="","Approved: enter the date it was signed","Signed"),IF(OR(W56="Rejected",W56="Void"),W56,IF(AND(G56="Verbal",H56=""),"Verbal only: confirm it in writing today",IF(AND(ISNUMBER(AA56),W56="Pricing"),"Work started, not yet priced",IF(AND(ISNUMBER(AA56),W56="Submitted"),"Work started, not signed",IF(W56="Directive: price open","Going ahead under a directive: agree the price",IF(AND(ISNUMBER(AB56),AB56&gt;'Contract'!$B$15),"Chase: waiting "&amp;AB56&amp;" days",IF(W56="Pricing","Price it and send it","Waiting for signature"))))))))))</f>
        <v/>
      </c>
      <c r="AD56" s="38">
        <f>IF($A56="","",SUMIFS(U$6:U55,W$6:W55,"Approved"))</f>
        <v/>
      </c>
      <c r="AE56" s="41">
        <f>IF($A56="","",SUMIFS(V$6:V55,W$6:W55,"Approved"))</f>
        <v/>
      </c>
      <c r="AF56" s="36" t="n"/>
      <c r="AG56" s="36" t="n"/>
    </row>
    <row r="57">
      <c r="A57" s="34" t="n"/>
      <c r="B57" s="35" t="n"/>
      <c r="C57" s="36" t="n"/>
      <c r="D57" s="36" t="n"/>
      <c r="E57" s="34" t="n"/>
      <c r="F57" s="36" t="n"/>
      <c r="G57" s="34" t="n"/>
      <c r="H57" s="35" t="n"/>
      <c r="I57" s="34" t="n"/>
      <c r="J57" s="37" t="n"/>
      <c r="K57" s="37" t="n"/>
      <c r="L57" s="37" t="n"/>
      <c r="M57" s="37" t="n"/>
      <c r="N57" s="37" t="n"/>
      <c r="O57" s="38">
        <f>IF($A57="","",SUM(J57:N57))</f>
        <v/>
      </c>
      <c r="P57" s="38">
        <f>IF($A57="","",ROUND((N(J57)+N(K57)+N(L57)+N(N57))*'Contract'!$B$12,2))</f>
        <v/>
      </c>
      <c r="Q57" s="38">
        <f>IF($A57="","",ROUND(N(M57)*'Contract'!$B$13,2))</f>
        <v/>
      </c>
      <c r="R57" s="38">
        <f>IF($A57="","",ROUND((O57+P57+Q57)*'Contract'!$B$14,2))</f>
        <v/>
      </c>
      <c r="S57" s="38">
        <f>IF($A57="","",O57+P57+Q57+R57)</f>
        <v/>
      </c>
      <c r="T57" s="37" t="n"/>
      <c r="U57" s="39">
        <f>IF($A57="","",IF(ISNUMBER(T57),T57,S57))</f>
        <v/>
      </c>
      <c r="V57" s="40" t="n"/>
      <c r="W57" s="34" t="n"/>
      <c r="X57" s="35" t="n"/>
      <c r="Y57" s="35" t="n"/>
      <c r="Z57" s="34" t="n"/>
      <c r="AA57" s="35" t="n"/>
      <c r="AB57" s="41">
        <f>IF(OR($A57="",AND(W57&lt;&gt;"Submitted",W57&lt;&gt;"Directive: price open",W57&lt;&gt;"Pricing")),"",'Contract'!$B$16-IF(ISNUMBER(X57),X57,IF(ISNUMBER(H57),H57,B57)))</f>
        <v/>
      </c>
      <c r="AC57" s="42">
        <f>IF($A57="","",IF(W57="","Set a status",IF(W57="Approved",IF(Y57="","Approved: enter the date it was signed","Signed"),IF(OR(W57="Rejected",W57="Void"),W57,IF(AND(G57="Verbal",H57=""),"Verbal only: confirm it in writing today",IF(AND(ISNUMBER(AA57),W57="Pricing"),"Work started, not yet priced",IF(AND(ISNUMBER(AA57),W57="Submitted"),"Work started, not signed",IF(W57="Directive: price open","Going ahead under a directive: agree the price",IF(AND(ISNUMBER(AB57),AB57&gt;'Contract'!$B$15),"Chase: waiting "&amp;AB57&amp;" days",IF(W57="Pricing","Price it and send it","Waiting for signature"))))))))))</f>
        <v/>
      </c>
      <c r="AD57" s="38">
        <f>IF($A57="","",SUMIFS(U$6:U56,W$6:W56,"Approved"))</f>
        <v/>
      </c>
      <c r="AE57" s="41">
        <f>IF($A57="","",SUMIFS(V$6:V56,W$6:W56,"Approved"))</f>
        <v/>
      </c>
      <c r="AF57" s="36" t="n"/>
      <c r="AG57" s="36" t="n"/>
    </row>
    <row r="58">
      <c r="A58" s="34" t="n"/>
      <c r="B58" s="35" t="n"/>
      <c r="C58" s="36" t="n"/>
      <c r="D58" s="36" t="n"/>
      <c r="E58" s="34" t="n"/>
      <c r="F58" s="36" t="n"/>
      <c r="G58" s="34" t="n"/>
      <c r="H58" s="35" t="n"/>
      <c r="I58" s="34" t="n"/>
      <c r="J58" s="37" t="n"/>
      <c r="K58" s="37" t="n"/>
      <c r="L58" s="37" t="n"/>
      <c r="M58" s="37" t="n"/>
      <c r="N58" s="37" t="n"/>
      <c r="O58" s="38">
        <f>IF($A58="","",SUM(J58:N58))</f>
        <v/>
      </c>
      <c r="P58" s="38">
        <f>IF($A58="","",ROUND((N(J58)+N(K58)+N(L58)+N(N58))*'Contract'!$B$12,2))</f>
        <v/>
      </c>
      <c r="Q58" s="38">
        <f>IF($A58="","",ROUND(N(M58)*'Contract'!$B$13,2))</f>
        <v/>
      </c>
      <c r="R58" s="38">
        <f>IF($A58="","",ROUND((O58+P58+Q58)*'Contract'!$B$14,2))</f>
        <v/>
      </c>
      <c r="S58" s="38">
        <f>IF($A58="","",O58+P58+Q58+R58)</f>
        <v/>
      </c>
      <c r="T58" s="37" t="n"/>
      <c r="U58" s="39">
        <f>IF($A58="","",IF(ISNUMBER(T58),T58,S58))</f>
        <v/>
      </c>
      <c r="V58" s="40" t="n"/>
      <c r="W58" s="34" t="n"/>
      <c r="X58" s="35" t="n"/>
      <c r="Y58" s="35" t="n"/>
      <c r="Z58" s="34" t="n"/>
      <c r="AA58" s="35" t="n"/>
      <c r="AB58" s="41">
        <f>IF(OR($A58="",AND(W58&lt;&gt;"Submitted",W58&lt;&gt;"Directive: price open",W58&lt;&gt;"Pricing")),"",'Contract'!$B$16-IF(ISNUMBER(X58),X58,IF(ISNUMBER(H58),H58,B58)))</f>
        <v/>
      </c>
      <c r="AC58" s="42">
        <f>IF($A58="","",IF(W58="","Set a status",IF(W58="Approved",IF(Y58="","Approved: enter the date it was signed","Signed"),IF(OR(W58="Rejected",W58="Void"),W58,IF(AND(G58="Verbal",H58=""),"Verbal only: confirm it in writing today",IF(AND(ISNUMBER(AA58),W58="Pricing"),"Work started, not yet priced",IF(AND(ISNUMBER(AA58),W58="Submitted"),"Work started, not signed",IF(W58="Directive: price open","Going ahead under a directive: agree the price",IF(AND(ISNUMBER(AB58),AB58&gt;'Contract'!$B$15),"Chase: waiting "&amp;AB58&amp;" days",IF(W58="Pricing","Price it and send it","Waiting for signature"))))))))))</f>
        <v/>
      </c>
      <c r="AD58" s="38">
        <f>IF($A58="","",SUMIFS(U$6:U57,W$6:W57,"Approved"))</f>
        <v/>
      </c>
      <c r="AE58" s="41">
        <f>IF($A58="","",SUMIFS(V$6:V57,W$6:W57,"Approved"))</f>
        <v/>
      </c>
      <c r="AF58" s="36" t="n"/>
      <c r="AG58" s="36" t="n"/>
    </row>
    <row r="59">
      <c r="A59" s="34" t="n"/>
      <c r="B59" s="35" t="n"/>
      <c r="C59" s="36" t="n"/>
      <c r="D59" s="36" t="n"/>
      <c r="E59" s="34" t="n"/>
      <c r="F59" s="36" t="n"/>
      <c r="G59" s="34" t="n"/>
      <c r="H59" s="35" t="n"/>
      <c r="I59" s="34" t="n"/>
      <c r="J59" s="37" t="n"/>
      <c r="K59" s="37" t="n"/>
      <c r="L59" s="37" t="n"/>
      <c r="M59" s="37" t="n"/>
      <c r="N59" s="37" t="n"/>
      <c r="O59" s="38">
        <f>IF($A59="","",SUM(J59:N59))</f>
        <v/>
      </c>
      <c r="P59" s="38">
        <f>IF($A59="","",ROUND((N(J59)+N(K59)+N(L59)+N(N59))*'Contract'!$B$12,2))</f>
        <v/>
      </c>
      <c r="Q59" s="38">
        <f>IF($A59="","",ROUND(N(M59)*'Contract'!$B$13,2))</f>
        <v/>
      </c>
      <c r="R59" s="38">
        <f>IF($A59="","",ROUND((O59+P59+Q59)*'Contract'!$B$14,2))</f>
        <v/>
      </c>
      <c r="S59" s="38">
        <f>IF($A59="","",O59+P59+Q59+R59)</f>
        <v/>
      </c>
      <c r="T59" s="37" t="n"/>
      <c r="U59" s="39">
        <f>IF($A59="","",IF(ISNUMBER(T59),T59,S59))</f>
        <v/>
      </c>
      <c r="V59" s="40" t="n"/>
      <c r="W59" s="34" t="n"/>
      <c r="X59" s="35" t="n"/>
      <c r="Y59" s="35" t="n"/>
      <c r="Z59" s="34" t="n"/>
      <c r="AA59" s="35" t="n"/>
      <c r="AB59" s="41">
        <f>IF(OR($A59="",AND(W59&lt;&gt;"Submitted",W59&lt;&gt;"Directive: price open",W59&lt;&gt;"Pricing")),"",'Contract'!$B$16-IF(ISNUMBER(X59),X59,IF(ISNUMBER(H59),H59,B59)))</f>
        <v/>
      </c>
      <c r="AC59" s="42">
        <f>IF($A59="","",IF(W59="","Set a status",IF(W59="Approved",IF(Y59="","Approved: enter the date it was signed","Signed"),IF(OR(W59="Rejected",W59="Void"),W59,IF(AND(G59="Verbal",H59=""),"Verbal only: confirm it in writing today",IF(AND(ISNUMBER(AA59),W59="Pricing"),"Work started, not yet priced",IF(AND(ISNUMBER(AA59),W59="Submitted"),"Work started, not signed",IF(W59="Directive: price open","Going ahead under a directive: agree the price",IF(AND(ISNUMBER(AB59),AB59&gt;'Contract'!$B$15),"Chase: waiting "&amp;AB59&amp;" days",IF(W59="Pricing","Price it and send it","Waiting for signature"))))))))))</f>
        <v/>
      </c>
      <c r="AD59" s="38">
        <f>IF($A59="","",SUMIFS(U$6:U58,W$6:W58,"Approved"))</f>
        <v/>
      </c>
      <c r="AE59" s="41">
        <f>IF($A59="","",SUMIFS(V$6:V58,W$6:W58,"Approved"))</f>
        <v/>
      </c>
      <c r="AF59" s="36" t="n"/>
      <c r="AG59" s="36" t="n"/>
    </row>
    <row r="60">
      <c r="A60" s="34" t="n"/>
      <c r="B60" s="35" t="n"/>
      <c r="C60" s="36" t="n"/>
      <c r="D60" s="36" t="n"/>
      <c r="E60" s="34" t="n"/>
      <c r="F60" s="36" t="n"/>
      <c r="G60" s="34" t="n"/>
      <c r="H60" s="35" t="n"/>
      <c r="I60" s="34" t="n"/>
      <c r="J60" s="37" t="n"/>
      <c r="K60" s="37" t="n"/>
      <c r="L60" s="37" t="n"/>
      <c r="M60" s="37" t="n"/>
      <c r="N60" s="37" t="n"/>
      <c r="O60" s="38">
        <f>IF($A60="","",SUM(J60:N60))</f>
        <v/>
      </c>
      <c r="P60" s="38">
        <f>IF($A60="","",ROUND((N(J60)+N(K60)+N(L60)+N(N60))*'Contract'!$B$12,2))</f>
        <v/>
      </c>
      <c r="Q60" s="38">
        <f>IF($A60="","",ROUND(N(M60)*'Contract'!$B$13,2))</f>
        <v/>
      </c>
      <c r="R60" s="38">
        <f>IF($A60="","",ROUND((O60+P60+Q60)*'Contract'!$B$14,2))</f>
        <v/>
      </c>
      <c r="S60" s="38">
        <f>IF($A60="","",O60+P60+Q60+R60)</f>
        <v/>
      </c>
      <c r="T60" s="37" t="n"/>
      <c r="U60" s="39">
        <f>IF($A60="","",IF(ISNUMBER(T60),T60,S60))</f>
        <v/>
      </c>
      <c r="V60" s="40" t="n"/>
      <c r="W60" s="34" t="n"/>
      <c r="X60" s="35" t="n"/>
      <c r="Y60" s="35" t="n"/>
      <c r="Z60" s="34" t="n"/>
      <c r="AA60" s="35" t="n"/>
      <c r="AB60" s="41">
        <f>IF(OR($A60="",AND(W60&lt;&gt;"Submitted",W60&lt;&gt;"Directive: price open",W60&lt;&gt;"Pricing")),"",'Contract'!$B$16-IF(ISNUMBER(X60),X60,IF(ISNUMBER(H60),H60,B60)))</f>
        <v/>
      </c>
      <c r="AC60" s="42">
        <f>IF($A60="","",IF(W60="","Set a status",IF(W60="Approved",IF(Y60="","Approved: enter the date it was signed","Signed"),IF(OR(W60="Rejected",W60="Void"),W60,IF(AND(G60="Verbal",H60=""),"Verbal only: confirm it in writing today",IF(AND(ISNUMBER(AA60),W60="Pricing"),"Work started, not yet priced",IF(AND(ISNUMBER(AA60),W60="Submitted"),"Work started, not signed",IF(W60="Directive: price open","Going ahead under a directive: agree the price",IF(AND(ISNUMBER(AB60),AB60&gt;'Contract'!$B$15),"Chase: waiting "&amp;AB60&amp;" days",IF(W60="Pricing","Price it and send it","Waiting for signature"))))))))))</f>
        <v/>
      </c>
      <c r="AD60" s="38">
        <f>IF($A60="","",SUMIFS(U$6:U59,W$6:W59,"Approved"))</f>
        <v/>
      </c>
      <c r="AE60" s="41">
        <f>IF($A60="","",SUMIFS(V$6:V59,W$6:W59,"Approved"))</f>
        <v/>
      </c>
      <c r="AF60" s="36" t="n"/>
      <c r="AG60" s="36" t="n"/>
    </row>
    <row r="61">
      <c r="A61" s="34" t="n"/>
      <c r="B61" s="35" t="n"/>
      <c r="C61" s="36" t="n"/>
      <c r="D61" s="36" t="n"/>
      <c r="E61" s="34" t="n"/>
      <c r="F61" s="36" t="n"/>
      <c r="G61" s="34" t="n"/>
      <c r="H61" s="35" t="n"/>
      <c r="I61" s="34" t="n"/>
      <c r="J61" s="37" t="n"/>
      <c r="K61" s="37" t="n"/>
      <c r="L61" s="37" t="n"/>
      <c r="M61" s="37" t="n"/>
      <c r="N61" s="37" t="n"/>
      <c r="O61" s="38">
        <f>IF($A61="","",SUM(J61:N61))</f>
        <v/>
      </c>
      <c r="P61" s="38">
        <f>IF($A61="","",ROUND((N(J61)+N(K61)+N(L61)+N(N61))*'Contract'!$B$12,2))</f>
        <v/>
      </c>
      <c r="Q61" s="38">
        <f>IF($A61="","",ROUND(N(M61)*'Contract'!$B$13,2))</f>
        <v/>
      </c>
      <c r="R61" s="38">
        <f>IF($A61="","",ROUND((O61+P61+Q61)*'Contract'!$B$14,2))</f>
        <v/>
      </c>
      <c r="S61" s="38">
        <f>IF($A61="","",O61+P61+Q61+R61)</f>
        <v/>
      </c>
      <c r="T61" s="37" t="n"/>
      <c r="U61" s="39">
        <f>IF($A61="","",IF(ISNUMBER(T61),T61,S61))</f>
        <v/>
      </c>
      <c r="V61" s="40" t="n"/>
      <c r="W61" s="34" t="n"/>
      <c r="X61" s="35" t="n"/>
      <c r="Y61" s="35" t="n"/>
      <c r="Z61" s="34" t="n"/>
      <c r="AA61" s="35" t="n"/>
      <c r="AB61" s="41">
        <f>IF(OR($A61="",AND(W61&lt;&gt;"Submitted",W61&lt;&gt;"Directive: price open",W61&lt;&gt;"Pricing")),"",'Contract'!$B$16-IF(ISNUMBER(X61),X61,IF(ISNUMBER(H61),H61,B61)))</f>
        <v/>
      </c>
      <c r="AC61" s="42">
        <f>IF($A61="","",IF(W61="","Set a status",IF(W61="Approved",IF(Y61="","Approved: enter the date it was signed","Signed"),IF(OR(W61="Rejected",W61="Void"),W61,IF(AND(G61="Verbal",H61=""),"Verbal only: confirm it in writing today",IF(AND(ISNUMBER(AA61),W61="Pricing"),"Work started, not yet priced",IF(AND(ISNUMBER(AA61),W61="Submitted"),"Work started, not signed",IF(W61="Directive: price open","Going ahead under a directive: agree the price",IF(AND(ISNUMBER(AB61),AB61&gt;'Contract'!$B$15),"Chase: waiting "&amp;AB61&amp;" days",IF(W61="Pricing","Price it and send it","Waiting for signature"))))))))))</f>
        <v/>
      </c>
      <c r="AD61" s="38">
        <f>IF($A61="","",SUMIFS(U$6:U60,W$6:W60,"Approved"))</f>
        <v/>
      </c>
      <c r="AE61" s="41">
        <f>IF($A61="","",SUMIFS(V$6:V60,W$6:W60,"Approved"))</f>
        <v/>
      </c>
      <c r="AF61" s="36" t="n"/>
      <c r="AG61" s="36" t="n"/>
    </row>
    <row r="62">
      <c r="A62" s="34" t="n"/>
      <c r="B62" s="35" t="n"/>
      <c r="C62" s="36" t="n"/>
      <c r="D62" s="36" t="n"/>
      <c r="E62" s="34" t="n"/>
      <c r="F62" s="36" t="n"/>
      <c r="G62" s="34" t="n"/>
      <c r="H62" s="35" t="n"/>
      <c r="I62" s="34" t="n"/>
      <c r="J62" s="37" t="n"/>
      <c r="K62" s="37" t="n"/>
      <c r="L62" s="37" t="n"/>
      <c r="M62" s="37" t="n"/>
      <c r="N62" s="37" t="n"/>
      <c r="O62" s="38">
        <f>IF($A62="","",SUM(J62:N62))</f>
        <v/>
      </c>
      <c r="P62" s="38">
        <f>IF($A62="","",ROUND((N(J62)+N(K62)+N(L62)+N(N62))*'Contract'!$B$12,2))</f>
        <v/>
      </c>
      <c r="Q62" s="38">
        <f>IF($A62="","",ROUND(N(M62)*'Contract'!$B$13,2))</f>
        <v/>
      </c>
      <c r="R62" s="38">
        <f>IF($A62="","",ROUND((O62+P62+Q62)*'Contract'!$B$14,2))</f>
        <v/>
      </c>
      <c r="S62" s="38">
        <f>IF($A62="","",O62+P62+Q62+R62)</f>
        <v/>
      </c>
      <c r="T62" s="37" t="n"/>
      <c r="U62" s="39">
        <f>IF($A62="","",IF(ISNUMBER(T62),T62,S62))</f>
        <v/>
      </c>
      <c r="V62" s="40" t="n"/>
      <c r="W62" s="34" t="n"/>
      <c r="X62" s="35" t="n"/>
      <c r="Y62" s="35" t="n"/>
      <c r="Z62" s="34" t="n"/>
      <c r="AA62" s="35" t="n"/>
      <c r="AB62" s="41">
        <f>IF(OR($A62="",AND(W62&lt;&gt;"Submitted",W62&lt;&gt;"Directive: price open",W62&lt;&gt;"Pricing")),"",'Contract'!$B$16-IF(ISNUMBER(X62),X62,IF(ISNUMBER(H62),H62,B62)))</f>
        <v/>
      </c>
      <c r="AC62" s="42">
        <f>IF($A62="","",IF(W62="","Set a status",IF(W62="Approved",IF(Y62="","Approved: enter the date it was signed","Signed"),IF(OR(W62="Rejected",W62="Void"),W62,IF(AND(G62="Verbal",H62=""),"Verbal only: confirm it in writing today",IF(AND(ISNUMBER(AA62),W62="Pricing"),"Work started, not yet priced",IF(AND(ISNUMBER(AA62),W62="Submitted"),"Work started, not signed",IF(W62="Directive: price open","Going ahead under a directive: agree the price",IF(AND(ISNUMBER(AB62),AB62&gt;'Contract'!$B$15),"Chase: waiting "&amp;AB62&amp;" days",IF(W62="Pricing","Price it and send it","Waiting for signature"))))))))))</f>
        <v/>
      </c>
      <c r="AD62" s="38">
        <f>IF($A62="","",SUMIFS(U$6:U61,W$6:W61,"Approved"))</f>
        <v/>
      </c>
      <c r="AE62" s="41">
        <f>IF($A62="","",SUMIFS(V$6:V61,W$6:W61,"Approved"))</f>
        <v/>
      </c>
      <c r="AF62" s="36" t="n"/>
      <c r="AG62" s="36" t="n"/>
    </row>
    <row r="63">
      <c r="A63" s="34" t="n"/>
      <c r="B63" s="35" t="n"/>
      <c r="C63" s="36" t="n"/>
      <c r="D63" s="36" t="n"/>
      <c r="E63" s="34" t="n"/>
      <c r="F63" s="36" t="n"/>
      <c r="G63" s="34" t="n"/>
      <c r="H63" s="35" t="n"/>
      <c r="I63" s="34" t="n"/>
      <c r="J63" s="37" t="n"/>
      <c r="K63" s="37" t="n"/>
      <c r="L63" s="37" t="n"/>
      <c r="M63" s="37" t="n"/>
      <c r="N63" s="37" t="n"/>
      <c r="O63" s="38">
        <f>IF($A63="","",SUM(J63:N63))</f>
        <v/>
      </c>
      <c r="P63" s="38">
        <f>IF($A63="","",ROUND((N(J63)+N(K63)+N(L63)+N(N63))*'Contract'!$B$12,2))</f>
        <v/>
      </c>
      <c r="Q63" s="38">
        <f>IF($A63="","",ROUND(N(M63)*'Contract'!$B$13,2))</f>
        <v/>
      </c>
      <c r="R63" s="38">
        <f>IF($A63="","",ROUND((O63+P63+Q63)*'Contract'!$B$14,2))</f>
        <v/>
      </c>
      <c r="S63" s="38">
        <f>IF($A63="","",O63+P63+Q63+R63)</f>
        <v/>
      </c>
      <c r="T63" s="37" t="n"/>
      <c r="U63" s="39">
        <f>IF($A63="","",IF(ISNUMBER(T63),T63,S63))</f>
        <v/>
      </c>
      <c r="V63" s="40" t="n"/>
      <c r="W63" s="34" t="n"/>
      <c r="X63" s="35" t="n"/>
      <c r="Y63" s="35" t="n"/>
      <c r="Z63" s="34" t="n"/>
      <c r="AA63" s="35" t="n"/>
      <c r="AB63" s="41">
        <f>IF(OR($A63="",AND(W63&lt;&gt;"Submitted",W63&lt;&gt;"Directive: price open",W63&lt;&gt;"Pricing")),"",'Contract'!$B$16-IF(ISNUMBER(X63),X63,IF(ISNUMBER(H63),H63,B63)))</f>
        <v/>
      </c>
      <c r="AC63" s="42">
        <f>IF($A63="","",IF(W63="","Set a status",IF(W63="Approved",IF(Y63="","Approved: enter the date it was signed","Signed"),IF(OR(W63="Rejected",W63="Void"),W63,IF(AND(G63="Verbal",H63=""),"Verbal only: confirm it in writing today",IF(AND(ISNUMBER(AA63),W63="Pricing"),"Work started, not yet priced",IF(AND(ISNUMBER(AA63),W63="Submitted"),"Work started, not signed",IF(W63="Directive: price open","Going ahead under a directive: agree the price",IF(AND(ISNUMBER(AB63),AB63&gt;'Contract'!$B$15),"Chase: waiting "&amp;AB63&amp;" days",IF(W63="Pricing","Price it and send it","Waiting for signature"))))))))))</f>
        <v/>
      </c>
      <c r="AD63" s="38">
        <f>IF($A63="","",SUMIFS(U$6:U62,W$6:W62,"Approved"))</f>
        <v/>
      </c>
      <c r="AE63" s="41">
        <f>IF($A63="","",SUMIFS(V$6:V62,W$6:W62,"Approved"))</f>
        <v/>
      </c>
      <c r="AF63" s="36" t="n"/>
      <c r="AG63" s="36" t="n"/>
    </row>
    <row r="64">
      <c r="A64" s="34" t="n"/>
      <c r="B64" s="35" t="n"/>
      <c r="C64" s="36" t="n"/>
      <c r="D64" s="36" t="n"/>
      <c r="E64" s="34" t="n"/>
      <c r="F64" s="36" t="n"/>
      <c r="G64" s="34" t="n"/>
      <c r="H64" s="35" t="n"/>
      <c r="I64" s="34" t="n"/>
      <c r="J64" s="37" t="n"/>
      <c r="K64" s="37" t="n"/>
      <c r="L64" s="37" t="n"/>
      <c r="M64" s="37" t="n"/>
      <c r="N64" s="37" t="n"/>
      <c r="O64" s="38">
        <f>IF($A64="","",SUM(J64:N64))</f>
        <v/>
      </c>
      <c r="P64" s="38">
        <f>IF($A64="","",ROUND((N(J64)+N(K64)+N(L64)+N(N64))*'Contract'!$B$12,2))</f>
        <v/>
      </c>
      <c r="Q64" s="38">
        <f>IF($A64="","",ROUND(N(M64)*'Contract'!$B$13,2))</f>
        <v/>
      </c>
      <c r="R64" s="38">
        <f>IF($A64="","",ROUND((O64+P64+Q64)*'Contract'!$B$14,2))</f>
        <v/>
      </c>
      <c r="S64" s="38">
        <f>IF($A64="","",O64+P64+Q64+R64)</f>
        <v/>
      </c>
      <c r="T64" s="37" t="n"/>
      <c r="U64" s="39">
        <f>IF($A64="","",IF(ISNUMBER(T64),T64,S64))</f>
        <v/>
      </c>
      <c r="V64" s="40" t="n"/>
      <c r="W64" s="34" t="n"/>
      <c r="X64" s="35" t="n"/>
      <c r="Y64" s="35" t="n"/>
      <c r="Z64" s="34" t="n"/>
      <c r="AA64" s="35" t="n"/>
      <c r="AB64" s="41">
        <f>IF(OR($A64="",AND(W64&lt;&gt;"Submitted",W64&lt;&gt;"Directive: price open",W64&lt;&gt;"Pricing")),"",'Contract'!$B$16-IF(ISNUMBER(X64),X64,IF(ISNUMBER(H64),H64,B64)))</f>
        <v/>
      </c>
      <c r="AC64" s="42">
        <f>IF($A64="","",IF(W64="","Set a status",IF(W64="Approved",IF(Y64="","Approved: enter the date it was signed","Signed"),IF(OR(W64="Rejected",W64="Void"),W64,IF(AND(G64="Verbal",H64=""),"Verbal only: confirm it in writing today",IF(AND(ISNUMBER(AA64),W64="Pricing"),"Work started, not yet priced",IF(AND(ISNUMBER(AA64),W64="Submitted"),"Work started, not signed",IF(W64="Directive: price open","Going ahead under a directive: agree the price",IF(AND(ISNUMBER(AB64),AB64&gt;'Contract'!$B$15),"Chase: waiting "&amp;AB64&amp;" days",IF(W64="Pricing","Price it and send it","Waiting for signature"))))))))))</f>
        <v/>
      </c>
      <c r="AD64" s="38">
        <f>IF($A64="","",SUMIFS(U$6:U63,W$6:W63,"Approved"))</f>
        <v/>
      </c>
      <c r="AE64" s="41">
        <f>IF($A64="","",SUMIFS(V$6:V63,W$6:W63,"Approved"))</f>
        <v/>
      </c>
      <c r="AF64" s="36" t="n"/>
      <c r="AG64" s="36" t="n"/>
    </row>
    <row r="65">
      <c r="A65" s="34" t="n"/>
      <c r="B65" s="35" t="n"/>
      <c r="C65" s="36" t="n"/>
      <c r="D65" s="36" t="n"/>
      <c r="E65" s="34" t="n"/>
      <c r="F65" s="36" t="n"/>
      <c r="G65" s="34" t="n"/>
      <c r="H65" s="35" t="n"/>
      <c r="I65" s="34" t="n"/>
      <c r="J65" s="37" t="n"/>
      <c r="K65" s="37" t="n"/>
      <c r="L65" s="37" t="n"/>
      <c r="M65" s="37" t="n"/>
      <c r="N65" s="37" t="n"/>
      <c r="O65" s="38">
        <f>IF($A65="","",SUM(J65:N65))</f>
        <v/>
      </c>
      <c r="P65" s="38">
        <f>IF($A65="","",ROUND((N(J65)+N(K65)+N(L65)+N(N65))*'Contract'!$B$12,2))</f>
        <v/>
      </c>
      <c r="Q65" s="38">
        <f>IF($A65="","",ROUND(N(M65)*'Contract'!$B$13,2))</f>
        <v/>
      </c>
      <c r="R65" s="38">
        <f>IF($A65="","",ROUND((O65+P65+Q65)*'Contract'!$B$14,2))</f>
        <v/>
      </c>
      <c r="S65" s="38">
        <f>IF($A65="","",O65+P65+Q65+R65)</f>
        <v/>
      </c>
      <c r="T65" s="37" t="n"/>
      <c r="U65" s="39">
        <f>IF($A65="","",IF(ISNUMBER(T65),T65,S65))</f>
        <v/>
      </c>
      <c r="V65" s="40" t="n"/>
      <c r="W65" s="34" t="n"/>
      <c r="X65" s="35" t="n"/>
      <c r="Y65" s="35" t="n"/>
      <c r="Z65" s="34" t="n"/>
      <c r="AA65" s="35" t="n"/>
      <c r="AB65" s="41">
        <f>IF(OR($A65="",AND(W65&lt;&gt;"Submitted",W65&lt;&gt;"Directive: price open",W65&lt;&gt;"Pricing")),"",'Contract'!$B$16-IF(ISNUMBER(X65),X65,IF(ISNUMBER(H65),H65,B65)))</f>
        <v/>
      </c>
      <c r="AC65" s="42">
        <f>IF($A65="","",IF(W65="","Set a status",IF(W65="Approved",IF(Y65="","Approved: enter the date it was signed","Signed"),IF(OR(W65="Rejected",W65="Void"),W65,IF(AND(G65="Verbal",H65=""),"Verbal only: confirm it in writing today",IF(AND(ISNUMBER(AA65),W65="Pricing"),"Work started, not yet priced",IF(AND(ISNUMBER(AA65),W65="Submitted"),"Work started, not signed",IF(W65="Directive: price open","Going ahead under a directive: agree the price",IF(AND(ISNUMBER(AB65),AB65&gt;'Contract'!$B$15),"Chase: waiting "&amp;AB65&amp;" days",IF(W65="Pricing","Price it and send it","Waiting for signature"))))))))))</f>
        <v/>
      </c>
      <c r="AD65" s="38">
        <f>IF($A65="","",SUMIFS(U$6:U64,W$6:W64,"Approved"))</f>
        <v/>
      </c>
      <c r="AE65" s="41">
        <f>IF($A65="","",SUMIFS(V$6:V64,W$6:W64,"Approved"))</f>
        <v/>
      </c>
      <c r="AF65" s="36" t="n"/>
      <c r="AG65" s="36" t="n"/>
    </row>
    <row r="66">
      <c r="A66" s="34" t="n"/>
      <c r="B66" s="35" t="n"/>
      <c r="C66" s="36" t="n"/>
      <c r="D66" s="36" t="n"/>
      <c r="E66" s="34" t="n"/>
      <c r="F66" s="36" t="n"/>
      <c r="G66" s="34" t="n"/>
      <c r="H66" s="35" t="n"/>
      <c r="I66" s="34" t="n"/>
      <c r="J66" s="37" t="n"/>
      <c r="K66" s="37" t="n"/>
      <c r="L66" s="37" t="n"/>
      <c r="M66" s="37" t="n"/>
      <c r="N66" s="37" t="n"/>
      <c r="O66" s="38">
        <f>IF($A66="","",SUM(J66:N66))</f>
        <v/>
      </c>
      <c r="P66" s="38">
        <f>IF($A66="","",ROUND((N(J66)+N(K66)+N(L66)+N(N66))*'Contract'!$B$12,2))</f>
        <v/>
      </c>
      <c r="Q66" s="38">
        <f>IF($A66="","",ROUND(N(M66)*'Contract'!$B$13,2))</f>
        <v/>
      </c>
      <c r="R66" s="38">
        <f>IF($A66="","",ROUND((O66+P66+Q66)*'Contract'!$B$14,2))</f>
        <v/>
      </c>
      <c r="S66" s="38">
        <f>IF($A66="","",O66+P66+Q66+R66)</f>
        <v/>
      </c>
      <c r="T66" s="37" t="n"/>
      <c r="U66" s="39">
        <f>IF($A66="","",IF(ISNUMBER(T66),T66,S66))</f>
        <v/>
      </c>
      <c r="V66" s="40" t="n"/>
      <c r="W66" s="34" t="n"/>
      <c r="X66" s="35" t="n"/>
      <c r="Y66" s="35" t="n"/>
      <c r="Z66" s="34" t="n"/>
      <c r="AA66" s="35" t="n"/>
      <c r="AB66" s="41">
        <f>IF(OR($A66="",AND(W66&lt;&gt;"Submitted",W66&lt;&gt;"Directive: price open",W66&lt;&gt;"Pricing")),"",'Contract'!$B$16-IF(ISNUMBER(X66),X66,IF(ISNUMBER(H66),H66,B66)))</f>
        <v/>
      </c>
      <c r="AC66" s="42">
        <f>IF($A66="","",IF(W66="","Set a status",IF(W66="Approved",IF(Y66="","Approved: enter the date it was signed","Signed"),IF(OR(W66="Rejected",W66="Void"),W66,IF(AND(G66="Verbal",H66=""),"Verbal only: confirm it in writing today",IF(AND(ISNUMBER(AA66),W66="Pricing"),"Work started, not yet priced",IF(AND(ISNUMBER(AA66),W66="Submitted"),"Work started, not signed",IF(W66="Directive: price open","Going ahead under a directive: agree the price",IF(AND(ISNUMBER(AB66),AB66&gt;'Contract'!$B$15),"Chase: waiting "&amp;AB66&amp;" days",IF(W66="Pricing","Price it and send it","Waiting for signature"))))))))))</f>
        <v/>
      </c>
      <c r="AD66" s="38">
        <f>IF($A66="","",SUMIFS(U$6:U65,W$6:W65,"Approved"))</f>
        <v/>
      </c>
      <c r="AE66" s="41">
        <f>IF($A66="","",SUMIFS(V$6:V65,W$6:W65,"Approved"))</f>
        <v/>
      </c>
      <c r="AF66" s="36" t="n"/>
      <c r="AG66" s="36" t="n"/>
    </row>
    <row r="67">
      <c r="A67" s="34" t="n"/>
      <c r="B67" s="35" t="n"/>
      <c r="C67" s="36" t="n"/>
      <c r="D67" s="36" t="n"/>
      <c r="E67" s="34" t="n"/>
      <c r="F67" s="36" t="n"/>
      <c r="G67" s="34" t="n"/>
      <c r="H67" s="35" t="n"/>
      <c r="I67" s="34" t="n"/>
      <c r="J67" s="37" t="n"/>
      <c r="K67" s="37" t="n"/>
      <c r="L67" s="37" t="n"/>
      <c r="M67" s="37" t="n"/>
      <c r="N67" s="37" t="n"/>
      <c r="O67" s="38">
        <f>IF($A67="","",SUM(J67:N67))</f>
        <v/>
      </c>
      <c r="P67" s="38">
        <f>IF($A67="","",ROUND((N(J67)+N(K67)+N(L67)+N(N67))*'Contract'!$B$12,2))</f>
        <v/>
      </c>
      <c r="Q67" s="38">
        <f>IF($A67="","",ROUND(N(M67)*'Contract'!$B$13,2))</f>
        <v/>
      </c>
      <c r="R67" s="38">
        <f>IF($A67="","",ROUND((O67+P67+Q67)*'Contract'!$B$14,2))</f>
        <v/>
      </c>
      <c r="S67" s="38">
        <f>IF($A67="","",O67+P67+Q67+R67)</f>
        <v/>
      </c>
      <c r="T67" s="37" t="n"/>
      <c r="U67" s="39">
        <f>IF($A67="","",IF(ISNUMBER(T67),T67,S67))</f>
        <v/>
      </c>
      <c r="V67" s="40" t="n"/>
      <c r="W67" s="34" t="n"/>
      <c r="X67" s="35" t="n"/>
      <c r="Y67" s="35" t="n"/>
      <c r="Z67" s="34" t="n"/>
      <c r="AA67" s="35" t="n"/>
      <c r="AB67" s="41">
        <f>IF(OR($A67="",AND(W67&lt;&gt;"Submitted",W67&lt;&gt;"Directive: price open",W67&lt;&gt;"Pricing")),"",'Contract'!$B$16-IF(ISNUMBER(X67),X67,IF(ISNUMBER(H67),H67,B67)))</f>
        <v/>
      </c>
      <c r="AC67" s="42">
        <f>IF($A67="","",IF(W67="","Set a status",IF(W67="Approved",IF(Y67="","Approved: enter the date it was signed","Signed"),IF(OR(W67="Rejected",W67="Void"),W67,IF(AND(G67="Verbal",H67=""),"Verbal only: confirm it in writing today",IF(AND(ISNUMBER(AA67),W67="Pricing"),"Work started, not yet priced",IF(AND(ISNUMBER(AA67),W67="Submitted"),"Work started, not signed",IF(W67="Directive: price open","Going ahead under a directive: agree the price",IF(AND(ISNUMBER(AB67),AB67&gt;'Contract'!$B$15),"Chase: waiting "&amp;AB67&amp;" days",IF(W67="Pricing","Price it and send it","Waiting for signature"))))))))))</f>
        <v/>
      </c>
      <c r="AD67" s="38">
        <f>IF($A67="","",SUMIFS(U$6:U66,W$6:W66,"Approved"))</f>
        <v/>
      </c>
      <c r="AE67" s="41">
        <f>IF($A67="","",SUMIFS(V$6:V66,W$6:W66,"Approved"))</f>
        <v/>
      </c>
      <c r="AF67" s="36" t="n"/>
      <c r="AG67" s="36" t="n"/>
    </row>
    <row r="68">
      <c r="A68" s="34" t="n"/>
      <c r="B68" s="35" t="n"/>
      <c r="C68" s="36" t="n"/>
      <c r="D68" s="36" t="n"/>
      <c r="E68" s="34" t="n"/>
      <c r="F68" s="36" t="n"/>
      <c r="G68" s="34" t="n"/>
      <c r="H68" s="35" t="n"/>
      <c r="I68" s="34" t="n"/>
      <c r="J68" s="37" t="n"/>
      <c r="K68" s="37" t="n"/>
      <c r="L68" s="37" t="n"/>
      <c r="M68" s="37" t="n"/>
      <c r="N68" s="37" t="n"/>
      <c r="O68" s="38">
        <f>IF($A68="","",SUM(J68:N68))</f>
        <v/>
      </c>
      <c r="P68" s="38">
        <f>IF($A68="","",ROUND((N(J68)+N(K68)+N(L68)+N(N68))*'Contract'!$B$12,2))</f>
        <v/>
      </c>
      <c r="Q68" s="38">
        <f>IF($A68="","",ROUND(N(M68)*'Contract'!$B$13,2))</f>
        <v/>
      </c>
      <c r="R68" s="38">
        <f>IF($A68="","",ROUND((O68+P68+Q68)*'Contract'!$B$14,2))</f>
        <v/>
      </c>
      <c r="S68" s="38">
        <f>IF($A68="","",O68+P68+Q68+R68)</f>
        <v/>
      </c>
      <c r="T68" s="37" t="n"/>
      <c r="U68" s="39">
        <f>IF($A68="","",IF(ISNUMBER(T68),T68,S68))</f>
        <v/>
      </c>
      <c r="V68" s="40" t="n"/>
      <c r="W68" s="34" t="n"/>
      <c r="X68" s="35" t="n"/>
      <c r="Y68" s="35" t="n"/>
      <c r="Z68" s="34" t="n"/>
      <c r="AA68" s="35" t="n"/>
      <c r="AB68" s="41">
        <f>IF(OR($A68="",AND(W68&lt;&gt;"Submitted",W68&lt;&gt;"Directive: price open",W68&lt;&gt;"Pricing")),"",'Contract'!$B$16-IF(ISNUMBER(X68),X68,IF(ISNUMBER(H68),H68,B68)))</f>
        <v/>
      </c>
      <c r="AC68" s="42">
        <f>IF($A68="","",IF(W68="","Set a status",IF(W68="Approved",IF(Y68="","Approved: enter the date it was signed","Signed"),IF(OR(W68="Rejected",W68="Void"),W68,IF(AND(G68="Verbal",H68=""),"Verbal only: confirm it in writing today",IF(AND(ISNUMBER(AA68),W68="Pricing"),"Work started, not yet priced",IF(AND(ISNUMBER(AA68),W68="Submitted"),"Work started, not signed",IF(W68="Directive: price open","Going ahead under a directive: agree the price",IF(AND(ISNUMBER(AB68),AB68&gt;'Contract'!$B$15),"Chase: waiting "&amp;AB68&amp;" days",IF(W68="Pricing","Price it and send it","Waiting for signature"))))))))))</f>
        <v/>
      </c>
      <c r="AD68" s="38">
        <f>IF($A68="","",SUMIFS(U$6:U67,W$6:W67,"Approved"))</f>
        <v/>
      </c>
      <c r="AE68" s="41">
        <f>IF($A68="","",SUMIFS(V$6:V67,W$6:W67,"Approved"))</f>
        <v/>
      </c>
      <c r="AF68" s="36" t="n"/>
      <c r="AG68" s="36" t="n"/>
    </row>
    <row r="69">
      <c r="A69" s="34" t="n"/>
      <c r="B69" s="35" t="n"/>
      <c r="C69" s="36" t="n"/>
      <c r="D69" s="36" t="n"/>
      <c r="E69" s="34" t="n"/>
      <c r="F69" s="36" t="n"/>
      <c r="G69" s="34" t="n"/>
      <c r="H69" s="35" t="n"/>
      <c r="I69" s="34" t="n"/>
      <c r="J69" s="37" t="n"/>
      <c r="K69" s="37" t="n"/>
      <c r="L69" s="37" t="n"/>
      <c r="M69" s="37" t="n"/>
      <c r="N69" s="37" t="n"/>
      <c r="O69" s="38">
        <f>IF($A69="","",SUM(J69:N69))</f>
        <v/>
      </c>
      <c r="P69" s="38">
        <f>IF($A69="","",ROUND((N(J69)+N(K69)+N(L69)+N(N69))*'Contract'!$B$12,2))</f>
        <v/>
      </c>
      <c r="Q69" s="38">
        <f>IF($A69="","",ROUND(N(M69)*'Contract'!$B$13,2))</f>
        <v/>
      </c>
      <c r="R69" s="38">
        <f>IF($A69="","",ROUND((O69+P69+Q69)*'Contract'!$B$14,2))</f>
        <v/>
      </c>
      <c r="S69" s="38">
        <f>IF($A69="","",O69+P69+Q69+R69)</f>
        <v/>
      </c>
      <c r="T69" s="37" t="n"/>
      <c r="U69" s="39">
        <f>IF($A69="","",IF(ISNUMBER(T69),T69,S69))</f>
        <v/>
      </c>
      <c r="V69" s="40" t="n"/>
      <c r="W69" s="34" t="n"/>
      <c r="X69" s="35" t="n"/>
      <c r="Y69" s="35" t="n"/>
      <c r="Z69" s="34" t="n"/>
      <c r="AA69" s="35" t="n"/>
      <c r="AB69" s="41">
        <f>IF(OR($A69="",AND(W69&lt;&gt;"Submitted",W69&lt;&gt;"Directive: price open",W69&lt;&gt;"Pricing")),"",'Contract'!$B$16-IF(ISNUMBER(X69),X69,IF(ISNUMBER(H69),H69,B69)))</f>
        <v/>
      </c>
      <c r="AC69" s="42">
        <f>IF($A69="","",IF(W69="","Set a status",IF(W69="Approved",IF(Y69="","Approved: enter the date it was signed","Signed"),IF(OR(W69="Rejected",W69="Void"),W69,IF(AND(G69="Verbal",H69=""),"Verbal only: confirm it in writing today",IF(AND(ISNUMBER(AA69),W69="Pricing"),"Work started, not yet priced",IF(AND(ISNUMBER(AA69),W69="Submitted"),"Work started, not signed",IF(W69="Directive: price open","Going ahead under a directive: agree the price",IF(AND(ISNUMBER(AB69),AB69&gt;'Contract'!$B$15),"Chase: waiting "&amp;AB69&amp;" days",IF(W69="Pricing","Price it and send it","Waiting for signature"))))))))))</f>
        <v/>
      </c>
      <c r="AD69" s="38">
        <f>IF($A69="","",SUMIFS(U$6:U68,W$6:W68,"Approved"))</f>
        <v/>
      </c>
      <c r="AE69" s="41">
        <f>IF($A69="","",SUMIFS(V$6:V68,W$6:W68,"Approved"))</f>
        <v/>
      </c>
      <c r="AF69" s="36" t="n"/>
      <c r="AG69" s="36" t="n"/>
    </row>
    <row r="70">
      <c r="A70" s="34" t="n"/>
      <c r="B70" s="35" t="n"/>
      <c r="C70" s="36" t="n"/>
      <c r="D70" s="36" t="n"/>
      <c r="E70" s="34" t="n"/>
      <c r="F70" s="36" t="n"/>
      <c r="G70" s="34" t="n"/>
      <c r="H70" s="35" t="n"/>
      <c r="I70" s="34" t="n"/>
      <c r="J70" s="37" t="n"/>
      <c r="K70" s="37" t="n"/>
      <c r="L70" s="37" t="n"/>
      <c r="M70" s="37" t="n"/>
      <c r="N70" s="37" t="n"/>
      <c r="O70" s="38">
        <f>IF($A70="","",SUM(J70:N70))</f>
        <v/>
      </c>
      <c r="P70" s="38">
        <f>IF($A70="","",ROUND((N(J70)+N(K70)+N(L70)+N(N70))*'Contract'!$B$12,2))</f>
        <v/>
      </c>
      <c r="Q70" s="38">
        <f>IF($A70="","",ROUND(N(M70)*'Contract'!$B$13,2))</f>
        <v/>
      </c>
      <c r="R70" s="38">
        <f>IF($A70="","",ROUND((O70+P70+Q70)*'Contract'!$B$14,2))</f>
        <v/>
      </c>
      <c r="S70" s="38">
        <f>IF($A70="","",O70+P70+Q70+R70)</f>
        <v/>
      </c>
      <c r="T70" s="37" t="n"/>
      <c r="U70" s="39">
        <f>IF($A70="","",IF(ISNUMBER(T70),T70,S70))</f>
        <v/>
      </c>
      <c r="V70" s="40" t="n"/>
      <c r="W70" s="34" t="n"/>
      <c r="X70" s="35" t="n"/>
      <c r="Y70" s="35" t="n"/>
      <c r="Z70" s="34" t="n"/>
      <c r="AA70" s="35" t="n"/>
      <c r="AB70" s="41">
        <f>IF(OR($A70="",AND(W70&lt;&gt;"Submitted",W70&lt;&gt;"Directive: price open",W70&lt;&gt;"Pricing")),"",'Contract'!$B$16-IF(ISNUMBER(X70),X70,IF(ISNUMBER(H70),H70,B70)))</f>
        <v/>
      </c>
      <c r="AC70" s="42">
        <f>IF($A70="","",IF(W70="","Set a status",IF(W70="Approved",IF(Y70="","Approved: enter the date it was signed","Signed"),IF(OR(W70="Rejected",W70="Void"),W70,IF(AND(G70="Verbal",H70=""),"Verbal only: confirm it in writing today",IF(AND(ISNUMBER(AA70),W70="Pricing"),"Work started, not yet priced",IF(AND(ISNUMBER(AA70),W70="Submitted"),"Work started, not signed",IF(W70="Directive: price open","Going ahead under a directive: agree the price",IF(AND(ISNUMBER(AB70),AB70&gt;'Contract'!$B$15),"Chase: waiting "&amp;AB70&amp;" days",IF(W70="Pricing","Price it and send it","Waiting for signature"))))))))))</f>
        <v/>
      </c>
      <c r="AD70" s="38">
        <f>IF($A70="","",SUMIFS(U$6:U69,W$6:W69,"Approved"))</f>
        <v/>
      </c>
      <c r="AE70" s="41">
        <f>IF($A70="","",SUMIFS(V$6:V69,W$6:W69,"Approved"))</f>
        <v/>
      </c>
      <c r="AF70" s="36" t="n"/>
      <c r="AG70" s="36" t="n"/>
    </row>
    <row r="71">
      <c r="A71" s="34" t="n"/>
      <c r="B71" s="35" t="n"/>
      <c r="C71" s="36" t="n"/>
      <c r="D71" s="36" t="n"/>
      <c r="E71" s="34" t="n"/>
      <c r="F71" s="36" t="n"/>
      <c r="G71" s="34" t="n"/>
      <c r="H71" s="35" t="n"/>
      <c r="I71" s="34" t="n"/>
      <c r="J71" s="37" t="n"/>
      <c r="K71" s="37" t="n"/>
      <c r="L71" s="37" t="n"/>
      <c r="M71" s="37" t="n"/>
      <c r="N71" s="37" t="n"/>
      <c r="O71" s="38">
        <f>IF($A71="","",SUM(J71:N71))</f>
        <v/>
      </c>
      <c r="P71" s="38">
        <f>IF($A71="","",ROUND((N(J71)+N(K71)+N(L71)+N(N71))*'Contract'!$B$12,2))</f>
        <v/>
      </c>
      <c r="Q71" s="38">
        <f>IF($A71="","",ROUND(N(M71)*'Contract'!$B$13,2))</f>
        <v/>
      </c>
      <c r="R71" s="38">
        <f>IF($A71="","",ROUND((O71+P71+Q71)*'Contract'!$B$14,2))</f>
        <v/>
      </c>
      <c r="S71" s="38">
        <f>IF($A71="","",O71+P71+Q71+R71)</f>
        <v/>
      </c>
      <c r="T71" s="37" t="n"/>
      <c r="U71" s="39">
        <f>IF($A71="","",IF(ISNUMBER(T71),T71,S71))</f>
        <v/>
      </c>
      <c r="V71" s="40" t="n"/>
      <c r="W71" s="34" t="n"/>
      <c r="X71" s="35" t="n"/>
      <c r="Y71" s="35" t="n"/>
      <c r="Z71" s="34" t="n"/>
      <c r="AA71" s="35" t="n"/>
      <c r="AB71" s="41">
        <f>IF(OR($A71="",AND(W71&lt;&gt;"Submitted",W71&lt;&gt;"Directive: price open",W71&lt;&gt;"Pricing")),"",'Contract'!$B$16-IF(ISNUMBER(X71),X71,IF(ISNUMBER(H71),H71,B71)))</f>
        <v/>
      </c>
      <c r="AC71" s="42">
        <f>IF($A71="","",IF(W71="","Set a status",IF(W71="Approved",IF(Y71="","Approved: enter the date it was signed","Signed"),IF(OR(W71="Rejected",W71="Void"),W71,IF(AND(G71="Verbal",H71=""),"Verbal only: confirm it in writing today",IF(AND(ISNUMBER(AA71),W71="Pricing"),"Work started, not yet priced",IF(AND(ISNUMBER(AA71),W71="Submitted"),"Work started, not signed",IF(W71="Directive: price open","Going ahead under a directive: agree the price",IF(AND(ISNUMBER(AB71),AB71&gt;'Contract'!$B$15),"Chase: waiting "&amp;AB71&amp;" days",IF(W71="Pricing","Price it and send it","Waiting for signature"))))))))))</f>
        <v/>
      </c>
      <c r="AD71" s="38">
        <f>IF($A71="","",SUMIFS(U$6:U70,W$6:W70,"Approved"))</f>
        <v/>
      </c>
      <c r="AE71" s="41">
        <f>IF($A71="","",SUMIFS(V$6:V70,W$6:W70,"Approved"))</f>
        <v/>
      </c>
      <c r="AF71" s="36" t="n"/>
      <c r="AG71" s="36" t="n"/>
    </row>
    <row r="72">
      <c r="A72" s="34" t="n"/>
      <c r="B72" s="35" t="n"/>
      <c r="C72" s="36" t="n"/>
      <c r="D72" s="36" t="n"/>
      <c r="E72" s="34" t="n"/>
      <c r="F72" s="36" t="n"/>
      <c r="G72" s="34" t="n"/>
      <c r="H72" s="35" t="n"/>
      <c r="I72" s="34" t="n"/>
      <c r="J72" s="37" t="n"/>
      <c r="K72" s="37" t="n"/>
      <c r="L72" s="37" t="n"/>
      <c r="M72" s="37" t="n"/>
      <c r="N72" s="37" t="n"/>
      <c r="O72" s="38">
        <f>IF($A72="","",SUM(J72:N72))</f>
        <v/>
      </c>
      <c r="P72" s="38">
        <f>IF($A72="","",ROUND((N(J72)+N(K72)+N(L72)+N(N72))*'Contract'!$B$12,2))</f>
        <v/>
      </c>
      <c r="Q72" s="38">
        <f>IF($A72="","",ROUND(N(M72)*'Contract'!$B$13,2))</f>
        <v/>
      </c>
      <c r="R72" s="38">
        <f>IF($A72="","",ROUND((O72+P72+Q72)*'Contract'!$B$14,2))</f>
        <v/>
      </c>
      <c r="S72" s="38">
        <f>IF($A72="","",O72+P72+Q72+R72)</f>
        <v/>
      </c>
      <c r="T72" s="37" t="n"/>
      <c r="U72" s="39">
        <f>IF($A72="","",IF(ISNUMBER(T72),T72,S72))</f>
        <v/>
      </c>
      <c r="V72" s="40" t="n"/>
      <c r="W72" s="34" t="n"/>
      <c r="X72" s="35" t="n"/>
      <c r="Y72" s="35" t="n"/>
      <c r="Z72" s="34" t="n"/>
      <c r="AA72" s="35" t="n"/>
      <c r="AB72" s="41">
        <f>IF(OR($A72="",AND(W72&lt;&gt;"Submitted",W72&lt;&gt;"Directive: price open",W72&lt;&gt;"Pricing")),"",'Contract'!$B$16-IF(ISNUMBER(X72),X72,IF(ISNUMBER(H72),H72,B72)))</f>
        <v/>
      </c>
      <c r="AC72" s="42">
        <f>IF($A72="","",IF(W72="","Set a status",IF(W72="Approved",IF(Y72="","Approved: enter the date it was signed","Signed"),IF(OR(W72="Rejected",W72="Void"),W72,IF(AND(G72="Verbal",H72=""),"Verbal only: confirm it in writing today",IF(AND(ISNUMBER(AA72),W72="Pricing"),"Work started, not yet priced",IF(AND(ISNUMBER(AA72),W72="Submitted"),"Work started, not signed",IF(W72="Directive: price open","Going ahead under a directive: agree the price",IF(AND(ISNUMBER(AB72),AB72&gt;'Contract'!$B$15),"Chase: waiting "&amp;AB72&amp;" days",IF(W72="Pricing","Price it and send it","Waiting for signature"))))))))))</f>
        <v/>
      </c>
      <c r="AD72" s="38">
        <f>IF($A72="","",SUMIFS(U$6:U71,W$6:W71,"Approved"))</f>
        <v/>
      </c>
      <c r="AE72" s="41">
        <f>IF($A72="","",SUMIFS(V$6:V71,W$6:W71,"Approved"))</f>
        <v/>
      </c>
      <c r="AF72" s="36" t="n"/>
      <c r="AG72" s="36" t="n"/>
    </row>
    <row r="73">
      <c r="A73" s="34" t="n"/>
      <c r="B73" s="35" t="n"/>
      <c r="C73" s="36" t="n"/>
      <c r="D73" s="36" t="n"/>
      <c r="E73" s="34" t="n"/>
      <c r="F73" s="36" t="n"/>
      <c r="G73" s="34" t="n"/>
      <c r="H73" s="35" t="n"/>
      <c r="I73" s="34" t="n"/>
      <c r="J73" s="37" t="n"/>
      <c r="K73" s="37" t="n"/>
      <c r="L73" s="37" t="n"/>
      <c r="M73" s="37" t="n"/>
      <c r="N73" s="37" t="n"/>
      <c r="O73" s="38">
        <f>IF($A73="","",SUM(J73:N73))</f>
        <v/>
      </c>
      <c r="P73" s="38">
        <f>IF($A73="","",ROUND((N(J73)+N(K73)+N(L73)+N(N73))*'Contract'!$B$12,2))</f>
        <v/>
      </c>
      <c r="Q73" s="38">
        <f>IF($A73="","",ROUND(N(M73)*'Contract'!$B$13,2))</f>
        <v/>
      </c>
      <c r="R73" s="38">
        <f>IF($A73="","",ROUND((O73+P73+Q73)*'Contract'!$B$14,2))</f>
        <v/>
      </c>
      <c r="S73" s="38">
        <f>IF($A73="","",O73+P73+Q73+R73)</f>
        <v/>
      </c>
      <c r="T73" s="37" t="n"/>
      <c r="U73" s="39">
        <f>IF($A73="","",IF(ISNUMBER(T73),T73,S73))</f>
        <v/>
      </c>
      <c r="V73" s="40" t="n"/>
      <c r="W73" s="34" t="n"/>
      <c r="X73" s="35" t="n"/>
      <c r="Y73" s="35" t="n"/>
      <c r="Z73" s="34" t="n"/>
      <c r="AA73" s="35" t="n"/>
      <c r="AB73" s="41">
        <f>IF(OR($A73="",AND(W73&lt;&gt;"Submitted",W73&lt;&gt;"Directive: price open",W73&lt;&gt;"Pricing")),"",'Contract'!$B$16-IF(ISNUMBER(X73),X73,IF(ISNUMBER(H73),H73,B73)))</f>
        <v/>
      </c>
      <c r="AC73" s="42">
        <f>IF($A73="","",IF(W73="","Set a status",IF(W73="Approved",IF(Y73="","Approved: enter the date it was signed","Signed"),IF(OR(W73="Rejected",W73="Void"),W73,IF(AND(G73="Verbal",H73=""),"Verbal only: confirm it in writing today",IF(AND(ISNUMBER(AA73),W73="Pricing"),"Work started, not yet priced",IF(AND(ISNUMBER(AA73),W73="Submitted"),"Work started, not signed",IF(W73="Directive: price open","Going ahead under a directive: agree the price",IF(AND(ISNUMBER(AB73),AB73&gt;'Contract'!$B$15),"Chase: waiting "&amp;AB73&amp;" days",IF(W73="Pricing","Price it and send it","Waiting for signature"))))))))))</f>
        <v/>
      </c>
      <c r="AD73" s="38">
        <f>IF($A73="","",SUMIFS(U$6:U72,W$6:W72,"Approved"))</f>
        <v/>
      </c>
      <c r="AE73" s="41">
        <f>IF($A73="","",SUMIFS(V$6:V72,W$6:W72,"Approved"))</f>
        <v/>
      </c>
      <c r="AF73" s="36" t="n"/>
      <c r="AG73" s="36" t="n"/>
    </row>
    <row r="74">
      <c r="A74" s="34" t="n"/>
      <c r="B74" s="35" t="n"/>
      <c r="C74" s="36" t="n"/>
      <c r="D74" s="36" t="n"/>
      <c r="E74" s="34" t="n"/>
      <c r="F74" s="36" t="n"/>
      <c r="G74" s="34" t="n"/>
      <c r="H74" s="35" t="n"/>
      <c r="I74" s="34" t="n"/>
      <c r="J74" s="37" t="n"/>
      <c r="K74" s="37" t="n"/>
      <c r="L74" s="37" t="n"/>
      <c r="M74" s="37" t="n"/>
      <c r="N74" s="37" t="n"/>
      <c r="O74" s="38">
        <f>IF($A74="","",SUM(J74:N74))</f>
        <v/>
      </c>
      <c r="P74" s="38">
        <f>IF($A74="","",ROUND((N(J74)+N(K74)+N(L74)+N(N74))*'Contract'!$B$12,2))</f>
        <v/>
      </c>
      <c r="Q74" s="38">
        <f>IF($A74="","",ROUND(N(M74)*'Contract'!$B$13,2))</f>
        <v/>
      </c>
      <c r="R74" s="38">
        <f>IF($A74="","",ROUND((O74+P74+Q74)*'Contract'!$B$14,2))</f>
        <v/>
      </c>
      <c r="S74" s="38">
        <f>IF($A74="","",O74+P74+Q74+R74)</f>
        <v/>
      </c>
      <c r="T74" s="37" t="n"/>
      <c r="U74" s="39">
        <f>IF($A74="","",IF(ISNUMBER(T74),T74,S74))</f>
        <v/>
      </c>
      <c r="V74" s="40" t="n"/>
      <c r="W74" s="34" t="n"/>
      <c r="X74" s="35" t="n"/>
      <c r="Y74" s="35" t="n"/>
      <c r="Z74" s="34" t="n"/>
      <c r="AA74" s="35" t="n"/>
      <c r="AB74" s="41">
        <f>IF(OR($A74="",AND(W74&lt;&gt;"Submitted",W74&lt;&gt;"Directive: price open",W74&lt;&gt;"Pricing")),"",'Contract'!$B$16-IF(ISNUMBER(X74),X74,IF(ISNUMBER(H74),H74,B74)))</f>
        <v/>
      </c>
      <c r="AC74" s="42">
        <f>IF($A74="","",IF(W74="","Set a status",IF(W74="Approved",IF(Y74="","Approved: enter the date it was signed","Signed"),IF(OR(W74="Rejected",W74="Void"),W74,IF(AND(G74="Verbal",H74=""),"Verbal only: confirm it in writing today",IF(AND(ISNUMBER(AA74),W74="Pricing"),"Work started, not yet priced",IF(AND(ISNUMBER(AA74),W74="Submitted"),"Work started, not signed",IF(W74="Directive: price open","Going ahead under a directive: agree the price",IF(AND(ISNUMBER(AB74),AB74&gt;'Contract'!$B$15),"Chase: waiting "&amp;AB74&amp;" days",IF(W74="Pricing","Price it and send it","Waiting for signature"))))))))))</f>
        <v/>
      </c>
      <c r="AD74" s="38">
        <f>IF($A74="","",SUMIFS(U$6:U73,W$6:W73,"Approved"))</f>
        <v/>
      </c>
      <c r="AE74" s="41">
        <f>IF($A74="","",SUMIFS(V$6:V73,W$6:W73,"Approved"))</f>
        <v/>
      </c>
      <c r="AF74" s="36" t="n"/>
      <c r="AG74" s="36" t="n"/>
    </row>
    <row r="75">
      <c r="A75" s="34" t="n"/>
      <c r="B75" s="35" t="n"/>
      <c r="C75" s="36" t="n"/>
      <c r="D75" s="36" t="n"/>
      <c r="E75" s="34" t="n"/>
      <c r="F75" s="36" t="n"/>
      <c r="G75" s="34" t="n"/>
      <c r="H75" s="35" t="n"/>
      <c r="I75" s="34" t="n"/>
      <c r="J75" s="37" t="n"/>
      <c r="K75" s="37" t="n"/>
      <c r="L75" s="37" t="n"/>
      <c r="M75" s="37" t="n"/>
      <c r="N75" s="37" t="n"/>
      <c r="O75" s="38">
        <f>IF($A75="","",SUM(J75:N75))</f>
        <v/>
      </c>
      <c r="P75" s="38">
        <f>IF($A75="","",ROUND((N(J75)+N(K75)+N(L75)+N(N75))*'Contract'!$B$12,2))</f>
        <v/>
      </c>
      <c r="Q75" s="38">
        <f>IF($A75="","",ROUND(N(M75)*'Contract'!$B$13,2))</f>
        <v/>
      </c>
      <c r="R75" s="38">
        <f>IF($A75="","",ROUND((O75+P75+Q75)*'Contract'!$B$14,2))</f>
        <v/>
      </c>
      <c r="S75" s="38">
        <f>IF($A75="","",O75+P75+Q75+R75)</f>
        <v/>
      </c>
      <c r="T75" s="37" t="n"/>
      <c r="U75" s="39">
        <f>IF($A75="","",IF(ISNUMBER(T75),T75,S75))</f>
        <v/>
      </c>
      <c r="V75" s="40" t="n"/>
      <c r="W75" s="34" t="n"/>
      <c r="X75" s="35" t="n"/>
      <c r="Y75" s="35" t="n"/>
      <c r="Z75" s="34" t="n"/>
      <c r="AA75" s="35" t="n"/>
      <c r="AB75" s="41">
        <f>IF(OR($A75="",AND(W75&lt;&gt;"Submitted",W75&lt;&gt;"Directive: price open",W75&lt;&gt;"Pricing")),"",'Contract'!$B$16-IF(ISNUMBER(X75),X75,IF(ISNUMBER(H75),H75,B75)))</f>
        <v/>
      </c>
      <c r="AC75" s="42">
        <f>IF($A75="","",IF(W75="","Set a status",IF(W75="Approved",IF(Y75="","Approved: enter the date it was signed","Signed"),IF(OR(W75="Rejected",W75="Void"),W75,IF(AND(G75="Verbal",H75=""),"Verbal only: confirm it in writing today",IF(AND(ISNUMBER(AA75),W75="Pricing"),"Work started, not yet priced",IF(AND(ISNUMBER(AA75),W75="Submitted"),"Work started, not signed",IF(W75="Directive: price open","Going ahead under a directive: agree the price",IF(AND(ISNUMBER(AB75),AB75&gt;'Contract'!$B$15),"Chase: waiting "&amp;AB75&amp;" days",IF(W75="Pricing","Price it and send it","Waiting for signature"))))))))))</f>
        <v/>
      </c>
      <c r="AD75" s="38">
        <f>IF($A75="","",SUMIFS(U$6:U74,W$6:W74,"Approved"))</f>
        <v/>
      </c>
      <c r="AE75" s="41">
        <f>IF($A75="","",SUMIFS(V$6:V74,W$6:W74,"Approved"))</f>
        <v/>
      </c>
      <c r="AF75" s="36" t="n"/>
      <c r="AG75" s="36" t="n"/>
    </row>
    <row r="76">
      <c r="A76" s="34" t="n"/>
      <c r="B76" s="35" t="n"/>
      <c r="C76" s="36" t="n"/>
      <c r="D76" s="36" t="n"/>
      <c r="E76" s="34" t="n"/>
      <c r="F76" s="36" t="n"/>
      <c r="G76" s="34" t="n"/>
      <c r="H76" s="35" t="n"/>
      <c r="I76" s="34" t="n"/>
      <c r="J76" s="37" t="n"/>
      <c r="K76" s="37" t="n"/>
      <c r="L76" s="37" t="n"/>
      <c r="M76" s="37" t="n"/>
      <c r="N76" s="37" t="n"/>
      <c r="O76" s="38">
        <f>IF($A76="","",SUM(J76:N76))</f>
        <v/>
      </c>
      <c r="P76" s="38">
        <f>IF($A76="","",ROUND((N(J76)+N(K76)+N(L76)+N(N76))*'Contract'!$B$12,2))</f>
        <v/>
      </c>
      <c r="Q76" s="38">
        <f>IF($A76="","",ROUND(N(M76)*'Contract'!$B$13,2))</f>
        <v/>
      </c>
      <c r="R76" s="38">
        <f>IF($A76="","",ROUND((O76+P76+Q76)*'Contract'!$B$14,2))</f>
        <v/>
      </c>
      <c r="S76" s="38">
        <f>IF($A76="","",O76+P76+Q76+R76)</f>
        <v/>
      </c>
      <c r="T76" s="37" t="n"/>
      <c r="U76" s="39">
        <f>IF($A76="","",IF(ISNUMBER(T76),T76,S76))</f>
        <v/>
      </c>
      <c r="V76" s="40" t="n"/>
      <c r="W76" s="34" t="n"/>
      <c r="X76" s="35" t="n"/>
      <c r="Y76" s="35" t="n"/>
      <c r="Z76" s="34" t="n"/>
      <c r="AA76" s="35" t="n"/>
      <c r="AB76" s="41">
        <f>IF(OR($A76="",AND(W76&lt;&gt;"Submitted",W76&lt;&gt;"Directive: price open",W76&lt;&gt;"Pricing")),"",'Contract'!$B$16-IF(ISNUMBER(X76),X76,IF(ISNUMBER(H76),H76,B76)))</f>
        <v/>
      </c>
      <c r="AC76" s="42">
        <f>IF($A76="","",IF(W76="","Set a status",IF(W76="Approved",IF(Y76="","Approved: enter the date it was signed","Signed"),IF(OR(W76="Rejected",W76="Void"),W76,IF(AND(G76="Verbal",H76=""),"Verbal only: confirm it in writing today",IF(AND(ISNUMBER(AA76),W76="Pricing"),"Work started, not yet priced",IF(AND(ISNUMBER(AA76),W76="Submitted"),"Work started, not signed",IF(W76="Directive: price open","Going ahead under a directive: agree the price",IF(AND(ISNUMBER(AB76),AB76&gt;'Contract'!$B$15),"Chase: waiting "&amp;AB76&amp;" days",IF(W76="Pricing","Price it and send it","Waiting for signature"))))))))))</f>
        <v/>
      </c>
      <c r="AD76" s="38">
        <f>IF($A76="","",SUMIFS(U$6:U75,W$6:W75,"Approved"))</f>
        <v/>
      </c>
      <c r="AE76" s="41">
        <f>IF($A76="","",SUMIFS(V$6:V75,W$6:W75,"Approved"))</f>
        <v/>
      </c>
      <c r="AF76" s="36" t="n"/>
      <c r="AG76" s="36" t="n"/>
    </row>
    <row r="77">
      <c r="A77" s="34" t="n"/>
      <c r="B77" s="35" t="n"/>
      <c r="C77" s="36" t="n"/>
      <c r="D77" s="36" t="n"/>
      <c r="E77" s="34" t="n"/>
      <c r="F77" s="36" t="n"/>
      <c r="G77" s="34" t="n"/>
      <c r="H77" s="35" t="n"/>
      <c r="I77" s="34" t="n"/>
      <c r="J77" s="37" t="n"/>
      <c r="K77" s="37" t="n"/>
      <c r="L77" s="37" t="n"/>
      <c r="M77" s="37" t="n"/>
      <c r="N77" s="37" t="n"/>
      <c r="O77" s="38">
        <f>IF($A77="","",SUM(J77:N77))</f>
        <v/>
      </c>
      <c r="P77" s="38">
        <f>IF($A77="","",ROUND((N(J77)+N(K77)+N(L77)+N(N77))*'Contract'!$B$12,2))</f>
        <v/>
      </c>
      <c r="Q77" s="38">
        <f>IF($A77="","",ROUND(N(M77)*'Contract'!$B$13,2))</f>
        <v/>
      </c>
      <c r="R77" s="38">
        <f>IF($A77="","",ROUND((O77+P77+Q77)*'Contract'!$B$14,2))</f>
        <v/>
      </c>
      <c r="S77" s="38">
        <f>IF($A77="","",O77+P77+Q77+R77)</f>
        <v/>
      </c>
      <c r="T77" s="37" t="n"/>
      <c r="U77" s="39">
        <f>IF($A77="","",IF(ISNUMBER(T77),T77,S77))</f>
        <v/>
      </c>
      <c r="V77" s="40" t="n"/>
      <c r="W77" s="34" t="n"/>
      <c r="X77" s="35" t="n"/>
      <c r="Y77" s="35" t="n"/>
      <c r="Z77" s="34" t="n"/>
      <c r="AA77" s="35" t="n"/>
      <c r="AB77" s="41">
        <f>IF(OR($A77="",AND(W77&lt;&gt;"Submitted",W77&lt;&gt;"Directive: price open",W77&lt;&gt;"Pricing")),"",'Contract'!$B$16-IF(ISNUMBER(X77),X77,IF(ISNUMBER(H77),H77,B77)))</f>
        <v/>
      </c>
      <c r="AC77" s="42">
        <f>IF($A77="","",IF(W77="","Set a status",IF(W77="Approved",IF(Y77="","Approved: enter the date it was signed","Signed"),IF(OR(W77="Rejected",W77="Void"),W77,IF(AND(G77="Verbal",H77=""),"Verbal only: confirm it in writing today",IF(AND(ISNUMBER(AA77),W77="Pricing"),"Work started, not yet priced",IF(AND(ISNUMBER(AA77),W77="Submitted"),"Work started, not signed",IF(W77="Directive: price open","Going ahead under a directive: agree the price",IF(AND(ISNUMBER(AB77),AB77&gt;'Contract'!$B$15),"Chase: waiting "&amp;AB77&amp;" days",IF(W77="Pricing","Price it and send it","Waiting for signature"))))))))))</f>
        <v/>
      </c>
      <c r="AD77" s="38">
        <f>IF($A77="","",SUMIFS(U$6:U76,W$6:W76,"Approved"))</f>
        <v/>
      </c>
      <c r="AE77" s="41">
        <f>IF($A77="","",SUMIFS(V$6:V76,W$6:W76,"Approved"))</f>
        <v/>
      </c>
      <c r="AF77" s="36" t="n"/>
      <c r="AG77" s="36" t="n"/>
    </row>
    <row r="78">
      <c r="A78" s="34" t="n"/>
      <c r="B78" s="35" t="n"/>
      <c r="C78" s="36" t="n"/>
      <c r="D78" s="36" t="n"/>
      <c r="E78" s="34" t="n"/>
      <c r="F78" s="36" t="n"/>
      <c r="G78" s="34" t="n"/>
      <c r="H78" s="35" t="n"/>
      <c r="I78" s="34" t="n"/>
      <c r="J78" s="37" t="n"/>
      <c r="K78" s="37" t="n"/>
      <c r="L78" s="37" t="n"/>
      <c r="M78" s="37" t="n"/>
      <c r="N78" s="37" t="n"/>
      <c r="O78" s="38">
        <f>IF($A78="","",SUM(J78:N78))</f>
        <v/>
      </c>
      <c r="P78" s="38">
        <f>IF($A78="","",ROUND((N(J78)+N(K78)+N(L78)+N(N78))*'Contract'!$B$12,2))</f>
        <v/>
      </c>
      <c r="Q78" s="38">
        <f>IF($A78="","",ROUND(N(M78)*'Contract'!$B$13,2))</f>
        <v/>
      </c>
      <c r="R78" s="38">
        <f>IF($A78="","",ROUND((O78+P78+Q78)*'Contract'!$B$14,2))</f>
        <v/>
      </c>
      <c r="S78" s="38">
        <f>IF($A78="","",O78+P78+Q78+R78)</f>
        <v/>
      </c>
      <c r="T78" s="37" t="n"/>
      <c r="U78" s="39">
        <f>IF($A78="","",IF(ISNUMBER(T78),T78,S78))</f>
        <v/>
      </c>
      <c r="V78" s="40" t="n"/>
      <c r="W78" s="34" t="n"/>
      <c r="X78" s="35" t="n"/>
      <c r="Y78" s="35" t="n"/>
      <c r="Z78" s="34" t="n"/>
      <c r="AA78" s="35" t="n"/>
      <c r="AB78" s="41">
        <f>IF(OR($A78="",AND(W78&lt;&gt;"Submitted",W78&lt;&gt;"Directive: price open",W78&lt;&gt;"Pricing")),"",'Contract'!$B$16-IF(ISNUMBER(X78),X78,IF(ISNUMBER(H78),H78,B78)))</f>
        <v/>
      </c>
      <c r="AC78" s="42">
        <f>IF($A78="","",IF(W78="","Set a status",IF(W78="Approved",IF(Y78="","Approved: enter the date it was signed","Signed"),IF(OR(W78="Rejected",W78="Void"),W78,IF(AND(G78="Verbal",H78=""),"Verbal only: confirm it in writing today",IF(AND(ISNUMBER(AA78),W78="Pricing"),"Work started, not yet priced",IF(AND(ISNUMBER(AA78),W78="Submitted"),"Work started, not signed",IF(W78="Directive: price open","Going ahead under a directive: agree the price",IF(AND(ISNUMBER(AB78),AB78&gt;'Contract'!$B$15),"Chase: waiting "&amp;AB78&amp;" days",IF(W78="Pricing","Price it and send it","Waiting for signature"))))))))))</f>
        <v/>
      </c>
      <c r="AD78" s="38">
        <f>IF($A78="","",SUMIFS(U$6:U77,W$6:W77,"Approved"))</f>
        <v/>
      </c>
      <c r="AE78" s="41">
        <f>IF($A78="","",SUMIFS(V$6:V77,W$6:W77,"Approved"))</f>
        <v/>
      </c>
      <c r="AF78" s="36" t="n"/>
      <c r="AG78" s="36" t="n"/>
    </row>
    <row r="79">
      <c r="A79" s="34" t="n"/>
      <c r="B79" s="35" t="n"/>
      <c r="C79" s="36" t="n"/>
      <c r="D79" s="36" t="n"/>
      <c r="E79" s="34" t="n"/>
      <c r="F79" s="36" t="n"/>
      <c r="G79" s="34" t="n"/>
      <c r="H79" s="35" t="n"/>
      <c r="I79" s="34" t="n"/>
      <c r="J79" s="37" t="n"/>
      <c r="K79" s="37" t="n"/>
      <c r="L79" s="37" t="n"/>
      <c r="M79" s="37" t="n"/>
      <c r="N79" s="37" t="n"/>
      <c r="O79" s="38">
        <f>IF($A79="","",SUM(J79:N79))</f>
        <v/>
      </c>
      <c r="P79" s="38">
        <f>IF($A79="","",ROUND((N(J79)+N(K79)+N(L79)+N(N79))*'Contract'!$B$12,2))</f>
        <v/>
      </c>
      <c r="Q79" s="38">
        <f>IF($A79="","",ROUND(N(M79)*'Contract'!$B$13,2))</f>
        <v/>
      </c>
      <c r="R79" s="38">
        <f>IF($A79="","",ROUND((O79+P79+Q79)*'Contract'!$B$14,2))</f>
        <v/>
      </c>
      <c r="S79" s="38">
        <f>IF($A79="","",O79+P79+Q79+R79)</f>
        <v/>
      </c>
      <c r="T79" s="37" t="n"/>
      <c r="U79" s="39">
        <f>IF($A79="","",IF(ISNUMBER(T79),T79,S79))</f>
        <v/>
      </c>
      <c r="V79" s="40" t="n"/>
      <c r="W79" s="34" t="n"/>
      <c r="X79" s="35" t="n"/>
      <c r="Y79" s="35" t="n"/>
      <c r="Z79" s="34" t="n"/>
      <c r="AA79" s="35" t="n"/>
      <c r="AB79" s="41">
        <f>IF(OR($A79="",AND(W79&lt;&gt;"Submitted",W79&lt;&gt;"Directive: price open",W79&lt;&gt;"Pricing")),"",'Contract'!$B$16-IF(ISNUMBER(X79),X79,IF(ISNUMBER(H79),H79,B79)))</f>
        <v/>
      </c>
      <c r="AC79" s="42">
        <f>IF($A79="","",IF(W79="","Set a status",IF(W79="Approved",IF(Y79="","Approved: enter the date it was signed","Signed"),IF(OR(W79="Rejected",W79="Void"),W79,IF(AND(G79="Verbal",H79=""),"Verbal only: confirm it in writing today",IF(AND(ISNUMBER(AA79),W79="Pricing"),"Work started, not yet priced",IF(AND(ISNUMBER(AA79),W79="Submitted"),"Work started, not signed",IF(W79="Directive: price open","Going ahead under a directive: agree the price",IF(AND(ISNUMBER(AB79),AB79&gt;'Contract'!$B$15),"Chase: waiting "&amp;AB79&amp;" days",IF(W79="Pricing","Price it and send it","Waiting for signature"))))))))))</f>
        <v/>
      </c>
      <c r="AD79" s="38">
        <f>IF($A79="","",SUMIFS(U$6:U78,W$6:W78,"Approved"))</f>
        <v/>
      </c>
      <c r="AE79" s="41">
        <f>IF($A79="","",SUMIFS(V$6:V78,W$6:W78,"Approved"))</f>
        <v/>
      </c>
      <c r="AF79" s="36" t="n"/>
      <c r="AG79" s="36" t="n"/>
    </row>
    <row r="80">
      <c r="A80" s="34" t="n"/>
      <c r="B80" s="35" t="n"/>
      <c r="C80" s="36" t="n"/>
      <c r="D80" s="36" t="n"/>
      <c r="E80" s="34" t="n"/>
      <c r="F80" s="36" t="n"/>
      <c r="G80" s="34" t="n"/>
      <c r="H80" s="35" t="n"/>
      <c r="I80" s="34" t="n"/>
      <c r="J80" s="37" t="n"/>
      <c r="K80" s="37" t="n"/>
      <c r="L80" s="37" t="n"/>
      <c r="M80" s="37" t="n"/>
      <c r="N80" s="37" t="n"/>
      <c r="O80" s="38">
        <f>IF($A80="","",SUM(J80:N80))</f>
        <v/>
      </c>
      <c r="P80" s="38">
        <f>IF($A80="","",ROUND((N(J80)+N(K80)+N(L80)+N(N80))*'Contract'!$B$12,2))</f>
        <v/>
      </c>
      <c r="Q80" s="38">
        <f>IF($A80="","",ROUND(N(M80)*'Contract'!$B$13,2))</f>
        <v/>
      </c>
      <c r="R80" s="38">
        <f>IF($A80="","",ROUND((O80+P80+Q80)*'Contract'!$B$14,2))</f>
        <v/>
      </c>
      <c r="S80" s="38">
        <f>IF($A80="","",O80+P80+Q80+R80)</f>
        <v/>
      </c>
      <c r="T80" s="37" t="n"/>
      <c r="U80" s="39">
        <f>IF($A80="","",IF(ISNUMBER(T80),T80,S80))</f>
        <v/>
      </c>
      <c r="V80" s="40" t="n"/>
      <c r="W80" s="34" t="n"/>
      <c r="X80" s="35" t="n"/>
      <c r="Y80" s="35" t="n"/>
      <c r="Z80" s="34" t="n"/>
      <c r="AA80" s="35" t="n"/>
      <c r="AB80" s="41">
        <f>IF(OR($A80="",AND(W80&lt;&gt;"Submitted",W80&lt;&gt;"Directive: price open",W80&lt;&gt;"Pricing")),"",'Contract'!$B$16-IF(ISNUMBER(X80),X80,IF(ISNUMBER(H80),H80,B80)))</f>
        <v/>
      </c>
      <c r="AC80" s="42">
        <f>IF($A80="","",IF(W80="","Set a status",IF(W80="Approved",IF(Y80="","Approved: enter the date it was signed","Signed"),IF(OR(W80="Rejected",W80="Void"),W80,IF(AND(G80="Verbal",H80=""),"Verbal only: confirm it in writing today",IF(AND(ISNUMBER(AA80),W80="Pricing"),"Work started, not yet priced",IF(AND(ISNUMBER(AA80),W80="Submitted"),"Work started, not signed",IF(W80="Directive: price open","Going ahead under a directive: agree the price",IF(AND(ISNUMBER(AB80),AB80&gt;'Contract'!$B$15),"Chase: waiting "&amp;AB80&amp;" days",IF(W80="Pricing","Price it and send it","Waiting for signature"))))))))))</f>
        <v/>
      </c>
      <c r="AD80" s="38">
        <f>IF($A80="","",SUMIFS(U$6:U79,W$6:W79,"Approved"))</f>
        <v/>
      </c>
      <c r="AE80" s="41">
        <f>IF($A80="","",SUMIFS(V$6:V79,W$6:W79,"Approved"))</f>
        <v/>
      </c>
      <c r="AF80" s="36" t="n"/>
      <c r="AG80" s="36" t="n"/>
    </row>
    <row r="81">
      <c r="A81" s="34" t="n"/>
      <c r="B81" s="35" t="n"/>
      <c r="C81" s="36" t="n"/>
      <c r="D81" s="36" t="n"/>
      <c r="E81" s="34" t="n"/>
      <c r="F81" s="36" t="n"/>
      <c r="G81" s="34" t="n"/>
      <c r="H81" s="35" t="n"/>
      <c r="I81" s="34" t="n"/>
      <c r="J81" s="37" t="n"/>
      <c r="K81" s="37" t="n"/>
      <c r="L81" s="37" t="n"/>
      <c r="M81" s="37" t="n"/>
      <c r="N81" s="37" t="n"/>
      <c r="O81" s="38">
        <f>IF($A81="","",SUM(J81:N81))</f>
        <v/>
      </c>
      <c r="P81" s="38">
        <f>IF($A81="","",ROUND((N(J81)+N(K81)+N(L81)+N(N81))*'Contract'!$B$12,2))</f>
        <v/>
      </c>
      <c r="Q81" s="38">
        <f>IF($A81="","",ROUND(N(M81)*'Contract'!$B$13,2))</f>
        <v/>
      </c>
      <c r="R81" s="38">
        <f>IF($A81="","",ROUND((O81+P81+Q81)*'Contract'!$B$14,2))</f>
        <v/>
      </c>
      <c r="S81" s="38">
        <f>IF($A81="","",O81+P81+Q81+R81)</f>
        <v/>
      </c>
      <c r="T81" s="37" t="n"/>
      <c r="U81" s="39">
        <f>IF($A81="","",IF(ISNUMBER(T81),T81,S81))</f>
        <v/>
      </c>
      <c r="V81" s="40" t="n"/>
      <c r="W81" s="34" t="n"/>
      <c r="X81" s="35" t="n"/>
      <c r="Y81" s="35" t="n"/>
      <c r="Z81" s="34" t="n"/>
      <c r="AA81" s="35" t="n"/>
      <c r="AB81" s="41">
        <f>IF(OR($A81="",AND(W81&lt;&gt;"Submitted",W81&lt;&gt;"Directive: price open",W81&lt;&gt;"Pricing")),"",'Contract'!$B$16-IF(ISNUMBER(X81),X81,IF(ISNUMBER(H81),H81,B81)))</f>
        <v/>
      </c>
      <c r="AC81" s="42">
        <f>IF($A81="","",IF(W81="","Set a status",IF(W81="Approved",IF(Y81="","Approved: enter the date it was signed","Signed"),IF(OR(W81="Rejected",W81="Void"),W81,IF(AND(G81="Verbal",H81=""),"Verbal only: confirm it in writing today",IF(AND(ISNUMBER(AA81),W81="Pricing"),"Work started, not yet priced",IF(AND(ISNUMBER(AA81),W81="Submitted"),"Work started, not signed",IF(W81="Directive: price open","Going ahead under a directive: agree the price",IF(AND(ISNUMBER(AB81),AB81&gt;'Contract'!$B$15),"Chase: waiting "&amp;AB81&amp;" days",IF(W81="Pricing","Price it and send it","Waiting for signature"))))))))))</f>
        <v/>
      </c>
      <c r="AD81" s="38">
        <f>IF($A81="","",SUMIFS(U$6:U80,W$6:W80,"Approved"))</f>
        <v/>
      </c>
      <c r="AE81" s="41">
        <f>IF($A81="","",SUMIFS(V$6:V80,W$6:W80,"Approved"))</f>
        <v/>
      </c>
      <c r="AF81" s="36" t="n"/>
      <c r="AG81" s="36" t="n"/>
    </row>
    <row r="82">
      <c r="A82" s="34" t="n"/>
      <c r="B82" s="35" t="n"/>
      <c r="C82" s="36" t="n"/>
      <c r="D82" s="36" t="n"/>
      <c r="E82" s="34" t="n"/>
      <c r="F82" s="36" t="n"/>
      <c r="G82" s="34" t="n"/>
      <c r="H82" s="35" t="n"/>
      <c r="I82" s="34" t="n"/>
      <c r="J82" s="37" t="n"/>
      <c r="K82" s="37" t="n"/>
      <c r="L82" s="37" t="n"/>
      <c r="M82" s="37" t="n"/>
      <c r="N82" s="37" t="n"/>
      <c r="O82" s="38">
        <f>IF($A82="","",SUM(J82:N82))</f>
        <v/>
      </c>
      <c r="P82" s="38">
        <f>IF($A82="","",ROUND((N(J82)+N(K82)+N(L82)+N(N82))*'Contract'!$B$12,2))</f>
        <v/>
      </c>
      <c r="Q82" s="38">
        <f>IF($A82="","",ROUND(N(M82)*'Contract'!$B$13,2))</f>
        <v/>
      </c>
      <c r="R82" s="38">
        <f>IF($A82="","",ROUND((O82+P82+Q82)*'Contract'!$B$14,2))</f>
        <v/>
      </c>
      <c r="S82" s="38">
        <f>IF($A82="","",O82+P82+Q82+R82)</f>
        <v/>
      </c>
      <c r="T82" s="37" t="n"/>
      <c r="U82" s="39">
        <f>IF($A82="","",IF(ISNUMBER(T82),T82,S82))</f>
        <v/>
      </c>
      <c r="V82" s="40" t="n"/>
      <c r="W82" s="34" t="n"/>
      <c r="X82" s="35" t="n"/>
      <c r="Y82" s="35" t="n"/>
      <c r="Z82" s="34" t="n"/>
      <c r="AA82" s="35" t="n"/>
      <c r="AB82" s="41">
        <f>IF(OR($A82="",AND(W82&lt;&gt;"Submitted",W82&lt;&gt;"Directive: price open",W82&lt;&gt;"Pricing")),"",'Contract'!$B$16-IF(ISNUMBER(X82),X82,IF(ISNUMBER(H82),H82,B82)))</f>
        <v/>
      </c>
      <c r="AC82" s="42">
        <f>IF($A82="","",IF(W82="","Set a status",IF(W82="Approved",IF(Y82="","Approved: enter the date it was signed","Signed"),IF(OR(W82="Rejected",W82="Void"),W82,IF(AND(G82="Verbal",H82=""),"Verbal only: confirm it in writing today",IF(AND(ISNUMBER(AA82),W82="Pricing"),"Work started, not yet priced",IF(AND(ISNUMBER(AA82),W82="Submitted"),"Work started, not signed",IF(W82="Directive: price open","Going ahead under a directive: agree the price",IF(AND(ISNUMBER(AB82),AB82&gt;'Contract'!$B$15),"Chase: waiting "&amp;AB82&amp;" days",IF(W82="Pricing","Price it and send it","Waiting for signature"))))))))))</f>
        <v/>
      </c>
      <c r="AD82" s="38">
        <f>IF($A82="","",SUMIFS(U$6:U81,W$6:W81,"Approved"))</f>
        <v/>
      </c>
      <c r="AE82" s="41">
        <f>IF($A82="","",SUMIFS(V$6:V81,W$6:W81,"Approved"))</f>
        <v/>
      </c>
      <c r="AF82" s="36" t="n"/>
      <c r="AG82" s="36" t="n"/>
    </row>
    <row r="83">
      <c r="A83" s="34" t="n"/>
      <c r="B83" s="35" t="n"/>
      <c r="C83" s="36" t="n"/>
      <c r="D83" s="36" t="n"/>
      <c r="E83" s="34" t="n"/>
      <c r="F83" s="36" t="n"/>
      <c r="G83" s="34" t="n"/>
      <c r="H83" s="35" t="n"/>
      <c r="I83" s="34" t="n"/>
      <c r="J83" s="37" t="n"/>
      <c r="K83" s="37" t="n"/>
      <c r="L83" s="37" t="n"/>
      <c r="M83" s="37" t="n"/>
      <c r="N83" s="37" t="n"/>
      <c r="O83" s="38">
        <f>IF($A83="","",SUM(J83:N83))</f>
        <v/>
      </c>
      <c r="P83" s="38">
        <f>IF($A83="","",ROUND((N(J83)+N(K83)+N(L83)+N(N83))*'Contract'!$B$12,2))</f>
        <v/>
      </c>
      <c r="Q83" s="38">
        <f>IF($A83="","",ROUND(N(M83)*'Contract'!$B$13,2))</f>
        <v/>
      </c>
      <c r="R83" s="38">
        <f>IF($A83="","",ROUND((O83+P83+Q83)*'Contract'!$B$14,2))</f>
        <v/>
      </c>
      <c r="S83" s="38">
        <f>IF($A83="","",O83+P83+Q83+R83)</f>
        <v/>
      </c>
      <c r="T83" s="37" t="n"/>
      <c r="U83" s="39">
        <f>IF($A83="","",IF(ISNUMBER(T83),T83,S83))</f>
        <v/>
      </c>
      <c r="V83" s="40" t="n"/>
      <c r="W83" s="34" t="n"/>
      <c r="X83" s="35" t="n"/>
      <c r="Y83" s="35" t="n"/>
      <c r="Z83" s="34" t="n"/>
      <c r="AA83" s="35" t="n"/>
      <c r="AB83" s="41">
        <f>IF(OR($A83="",AND(W83&lt;&gt;"Submitted",W83&lt;&gt;"Directive: price open",W83&lt;&gt;"Pricing")),"",'Contract'!$B$16-IF(ISNUMBER(X83),X83,IF(ISNUMBER(H83),H83,B83)))</f>
        <v/>
      </c>
      <c r="AC83" s="42">
        <f>IF($A83="","",IF(W83="","Set a status",IF(W83="Approved",IF(Y83="","Approved: enter the date it was signed","Signed"),IF(OR(W83="Rejected",W83="Void"),W83,IF(AND(G83="Verbal",H83=""),"Verbal only: confirm it in writing today",IF(AND(ISNUMBER(AA83),W83="Pricing"),"Work started, not yet priced",IF(AND(ISNUMBER(AA83),W83="Submitted"),"Work started, not signed",IF(W83="Directive: price open","Going ahead under a directive: agree the price",IF(AND(ISNUMBER(AB83),AB83&gt;'Contract'!$B$15),"Chase: waiting "&amp;AB83&amp;" days",IF(W83="Pricing","Price it and send it","Waiting for signature"))))))))))</f>
        <v/>
      </c>
      <c r="AD83" s="38">
        <f>IF($A83="","",SUMIFS(U$6:U82,W$6:W82,"Approved"))</f>
        <v/>
      </c>
      <c r="AE83" s="41">
        <f>IF($A83="","",SUMIFS(V$6:V82,W$6:W82,"Approved"))</f>
        <v/>
      </c>
      <c r="AF83" s="36" t="n"/>
      <c r="AG83" s="36" t="n"/>
    </row>
    <row r="84">
      <c r="A84" s="34" t="n"/>
      <c r="B84" s="35" t="n"/>
      <c r="C84" s="36" t="n"/>
      <c r="D84" s="36" t="n"/>
      <c r="E84" s="34" t="n"/>
      <c r="F84" s="36" t="n"/>
      <c r="G84" s="34" t="n"/>
      <c r="H84" s="35" t="n"/>
      <c r="I84" s="34" t="n"/>
      <c r="J84" s="37" t="n"/>
      <c r="K84" s="37" t="n"/>
      <c r="L84" s="37" t="n"/>
      <c r="M84" s="37" t="n"/>
      <c r="N84" s="37" t="n"/>
      <c r="O84" s="38">
        <f>IF($A84="","",SUM(J84:N84))</f>
        <v/>
      </c>
      <c r="P84" s="38">
        <f>IF($A84="","",ROUND((N(J84)+N(K84)+N(L84)+N(N84))*'Contract'!$B$12,2))</f>
        <v/>
      </c>
      <c r="Q84" s="38">
        <f>IF($A84="","",ROUND(N(M84)*'Contract'!$B$13,2))</f>
        <v/>
      </c>
      <c r="R84" s="38">
        <f>IF($A84="","",ROUND((O84+P84+Q84)*'Contract'!$B$14,2))</f>
        <v/>
      </c>
      <c r="S84" s="38">
        <f>IF($A84="","",O84+P84+Q84+R84)</f>
        <v/>
      </c>
      <c r="T84" s="37" t="n"/>
      <c r="U84" s="39">
        <f>IF($A84="","",IF(ISNUMBER(T84),T84,S84))</f>
        <v/>
      </c>
      <c r="V84" s="40" t="n"/>
      <c r="W84" s="34" t="n"/>
      <c r="X84" s="35" t="n"/>
      <c r="Y84" s="35" t="n"/>
      <c r="Z84" s="34" t="n"/>
      <c r="AA84" s="35" t="n"/>
      <c r="AB84" s="41">
        <f>IF(OR($A84="",AND(W84&lt;&gt;"Submitted",W84&lt;&gt;"Directive: price open",W84&lt;&gt;"Pricing")),"",'Contract'!$B$16-IF(ISNUMBER(X84),X84,IF(ISNUMBER(H84),H84,B84)))</f>
        <v/>
      </c>
      <c r="AC84" s="42">
        <f>IF($A84="","",IF(W84="","Set a status",IF(W84="Approved",IF(Y84="","Approved: enter the date it was signed","Signed"),IF(OR(W84="Rejected",W84="Void"),W84,IF(AND(G84="Verbal",H84=""),"Verbal only: confirm it in writing today",IF(AND(ISNUMBER(AA84),W84="Pricing"),"Work started, not yet priced",IF(AND(ISNUMBER(AA84),W84="Submitted"),"Work started, not signed",IF(W84="Directive: price open","Going ahead under a directive: agree the price",IF(AND(ISNUMBER(AB84),AB84&gt;'Contract'!$B$15),"Chase: waiting "&amp;AB84&amp;" days",IF(W84="Pricing","Price it and send it","Waiting for signature"))))))))))</f>
        <v/>
      </c>
      <c r="AD84" s="38">
        <f>IF($A84="","",SUMIFS(U$6:U83,W$6:W83,"Approved"))</f>
        <v/>
      </c>
      <c r="AE84" s="41">
        <f>IF($A84="","",SUMIFS(V$6:V83,W$6:W83,"Approved"))</f>
        <v/>
      </c>
      <c r="AF84" s="36" t="n"/>
      <c r="AG84" s="36" t="n"/>
    </row>
    <row r="85">
      <c r="A85" s="34" t="n"/>
      <c r="B85" s="35" t="n"/>
      <c r="C85" s="36" t="n"/>
      <c r="D85" s="36" t="n"/>
      <c r="E85" s="34" t="n"/>
      <c r="F85" s="36" t="n"/>
      <c r="G85" s="34" t="n"/>
      <c r="H85" s="35" t="n"/>
      <c r="I85" s="34" t="n"/>
      <c r="J85" s="37" t="n"/>
      <c r="K85" s="37" t="n"/>
      <c r="L85" s="37" t="n"/>
      <c r="M85" s="37" t="n"/>
      <c r="N85" s="37" t="n"/>
      <c r="O85" s="38">
        <f>IF($A85="","",SUM(J85:N85))</f>
        <v/>
      </c>
      <c r="P85" s="38">
        <f>IF($A85="","",ROUND((N(J85)+N(K85)+N(L85)+N(N85))*'Contract'!$B$12,2))</f>
        <v/>
      </c>
      <c r="Q85" s="38">
        <f>IF($A85="","",ROUND(N(M85)*'Contract'!$B$13,2))</f>
        <v/>
      </c>
      <c r="R85" s="38">
        <f>IF($A85="","",ROUND((O85+P85+Q85)*'Contract'!$B$14,2))</f>
        <v/>
      </c>
      <c r="S85" s="38">
        <f>IF($A85="","",O85+P85+Q85+R85)</f>
        <v/>
      </c>
      <c r="T85" s="37" t="n"/>
      <c r="U85" s="39">
        <f>IF($A85="","",IF(ISNUMBER(T85),T85,S85))</f>
        <v/>
      </c>
      <c r="V85" s="40" t="n"/>
      <c r="W85" s="34" t="n"/>
      <c r="X85" s="35" t="n"/>
      <c r="Y85" s="35" t="n"/>
      <c r="Z85" s="34" t="n"/>
      <c r="AA85" s="35" t="n"/>
      <c r="AB85" s="41">
        <f>IF(OR($A85="",AND(W85&lt;&gt;"Submitted",W85&lt;&gt;"Directive: price open",W85&lt;&gt;"Pricing")),"",'Contract'!$B$16-IF(ISNUMBER(X85),X85,IF(ISNUMBER(H85),H85,B85)))</f>
        <v/>
      </c>
      <c r="AC85" s="42">
        <f>IF($A85="","",IF(W85="","Set a status",IF(W85="Approved",IF(Y85="","Approved: enter the date it was signed","Signed"),IF(OR(W85="Rejected",W85="Void"),W85,IF(AND(G85="Verbal",H85=""),"Verbal only: confirm it in writing today",IF(AND(ISNUMBER(AA85),W85="Pricing"),"Work started, not yet priced",IF(AND(ISNUMBER(AA85),W85="Submitted"),"Work started, not signed",IF(W85="Directive: price open","Going ahead under a directive: agree the price",IF(AND(ISNUMBER(AB85),AB85&gt;'Contract'!$B$15),"Chase: waiting "&amp;AB85&amp;" days",IF(W85="Pricing","Price it and send it","Waiting for signature"))))))))))</f>
        <v/>
      </c>
      <c r="AD85" s="38">
        <f>IF($A85="","",SUMIFS(U$6:U84,W$6:W84,"Approved"))</f>
        <v/>
      </c>
      <c r="AE85" s="41">
        <f>IF($A85="","",SUMIFS(V$6:V84,W$6:W84,"Approved"))</f>
        <v/>
      </c>
      <c r="AF85" s="36" t="n"/>
      <c r="AG85" s="36" t="n"/>
    </row>
    <row r="86">
      <c r="A86" s="34" t="n"/>
      <c r="B86" s="35" t="n"/>
      <c r="C86" s="36" t="n"/>
      <c r="D86" s="36" t="n"/>
      <c r="E86" s="34" t="n"/>
      <c r="F86" s="36" t="n"/>
      <c r="G86" s="34" t="n"/>
      <c r="H86" s="35" t="n"/>
      <c r="I86" s="34" t="n"/>
      <c r="J86" s="37" t="n"/>
      <c r="K86" s="37" t="n"/>
      <c r="L86" s="37" t="n"/>
      <c r="M86" s="37" t="n"/>
      <c r="N86" s="37" t="n"/>
      <c r="O86" s="38">
        <f>IF($A86="","",SUM(J86:N86))</f>
        <v/>
      </c>
      <c r="P86" s="38">
        <f>IF($A86="","",ROUND((N(J86)+N(K86)+N(L86)+N(N86))*'Contract'!$B$12,2))</f>
        <v/>
      </c>
      <c r="Q86" s="38">
        <f>IF($A86="","",ROUND(N(M86)*'Contract'!$B$13,2))</f>
        <v/>
      </c>
      <c r="R86" s="38">
        <f>IF($A86="","",ROUND((O86+P86+Q86)*'Contract'!$B$14,2))</f>
        <v/>
      </c>
      <c r="S86" s="38">
        <f>IF($A86="","",O86+P86+Q86+R86)</f>
        <v/>
      </c>
      <c r="T86" s="37" t="n"/>
      <c r="U86" s="39">
        <f>IF($A86="","",IF(ISNUMBER(T86),T86,S86))</f>
        <v/>
      </c>
      <c r="V86" s="40" t="n"/>
      <c r="W86" s="34" t="n"/>
      <c r="X86" s="35" t="n"/>
      <c r="Y86" s="35" t="n"/>
      <c r="Z86" s="34" t="n"/>
      <c r="AA86" s="35" t="n"/>
      <c r="AB86" s="41">
        <f>IF(OR($A86="",AND(W86&lt;&gt;"Submitted",W86&lt;&gt;"Directive: price open",W86&lt;&gt;"Pricing")),"",'Contract'!$B$16-IF(ISNUMBER(X86),X86,IF(ISNUMBER(H86),H86,B86)))</f>
        <v/>
      </c>
      <c r="AC86" s="42">
        <f>IF($A86="","",IF(W86="","Set a status",IF(W86="Approved",IF(Y86="","Approved: enter the date it was signed","Signed"),IF(OR(W86="Rejected",W86="Void"),W86,IF(AND(G86="Verbal",H86=""),"Verbal only: confirm it in writing today",IF(AND(ISNUMBER(AA86),W86="Pricing"),"Work started, not yet priced",IF(AND(ISNUMBER(AA86),W86="Submitted"),"Work started, not signed",IF(W86="Directive: price open","Going ahead under a directive: agree the price",IF(AND(ISNUMBER(AB86),AB86&gt;'Contract'!$B$15),"Chase: waiting "&amp;AB86&amp;" days",IF(W86="Pricing","Price it and send it","Waiting for signature"))))))))))</f>
        <v/>
      </c>
      <c r="AD86" s="38">
        <f>IF($A86="","",SUMIFS(U$6:U85,W$6:W85,"Approved"))</f>
        <v/>
      </c>
      <c r="AE86" s="41">
        <f>IF($A86="","",SUMIFS(V$6:V85,W$6:W85,"Approved"))</f>
        <v/>
      </c>
      <c r="AF86" s="36" t="n"/>
      <c r="AG86" s="36" t="n"/>
    </row>
    <row r="87">
      <c r="A87" s="34" t="n"/>
      <c r="B87" s="35" t="n"/>
      <c r="C87" s="36" t="n"/>
      <c r="D87" s="36" t="n"/>
      <c r="E87" s="34" t="n"/>
      <c r="F87" s="36" t="n"/>
      <c r="G87" s="34" t="n"/>
      <c r="H87" s="35" t="n"/>
      <c r="I87" s="34" t="n"/>
      <c r="J87" s="37" t="n"/>
      <c r="K87" s="37" t="n"/>
      <c r="L87" s="37" t="n"/>
      <c r="M87" s="37" t="n"/>
      <c r="N87" s="37" t="n"/>
      <c r="O87" s="38">
        <f>IF($A87="","",SUM(J87:N87))</f>
        <v/>
      </c>
      <c r="P87" s="38">
        <f>IF($A87="","",ROUND((N(J87)+N(K87)+N(L87)+N(N87))*'Contract'!$B$12,2))</f>
        <v/>
      </c>
      <c r="Q87" s="38">
        <f>IF($A87="","",ROUND(N(M87)*'Contract'!$B$13,2))</f>
        <v/>
      </c>
      <c r="R87" s="38">
        <f>IF($A87="","",ROUND((O87+P87+Q87)*'Contract'!$B$14,2))</f>
        <v/>
      </c>
      <c r="S87" s="38">
        <f>IF($A87="","",O87+P87+Q87+R87)</f>
        <v/>
      </c>
      <c r="T87" s="37" t="n"/>
      <c r="U87" s="39">
        <f>IF($A87="","",IF(ISNUMBER(T87),T87,S87))</f>
        <v/>
      </c>
      <c r="V87" s="40" t="n"/>
      <c r="W87" s="34" t="n"/>
      <c r="X87" s="35" t="n"/>
      <c r="Y87" s="35" t="n"/>
      <c r="Z87" s="34" t="n"/>
      <c r="AA87" s="35" t="n"/>
      <c r="AB87" s="41">
        <f>IF(OR($A87="",AND(W87&lt;&gt;"Submitted",W87&lt;&gt;"Directive: price open",W87&lt;&gt;"Pricing")),"",'Contract'!$B$16-IF(ISNUMBER(X87),X87,IF(ISNUMBER(H87),H87,B87)))</f>
        <v/>
      </c>
      <c r="AC87" s="42">
        <f>IF($A87="","",IF(W87="","Set a status",IF(W87="Approved",IF(Y87="","Approved: enter the date it was signed","Signed"),IF(OR(W87="Rejected",W87="Void"),W87,IF(AND(G87="Verbal",H87=""),"Verbal only: confirm it in writing today",IF(AND(ISNUMBER(AA87),W87="Pricing"),"Work started, not yet priced",IF(AND(ISNUMBER(AA87),W87="Submitted"),"Work started, not signed",IF(W87="Directive: price open","Going ahead under a directive: agree the price",IF(AND(ISNUMBER(AB87),AB87&gt;'Contract'!$B$15),"Chase: waiting "&amp;AB87&amp;" days",IF(W87="Pricing","Price it and send it","Waiting for signature"))))))))))</f>
        <v/>
      </c>
      <c r="AD87" s="38">
        <f>IF($A87="","",SUMIFS(U$6:U86,W$6:W86,"Approved"))</f>
        <v/>
      </c>
      <c r="AE87" s="41">
        <f>IF($A87="","",SUMIFS(V$6:V86,W$6:W86,"Approved"))</f>
        <v/>
      </c>
      <c r="AF87" s="36" t="n"/>
      <c r="AG87" s="36" t="n"/>
    </row>
    <row r="88">
      <c r="A88" s="34" t="n"/>
      <c r="B88" s="35" t="n"/>
      <c r="C88" s="36" t="n"/>
      <c r="D88" s="36" t="n"/>
      <c r="E88" s="34" t="n"/>
      <c r="F88" s="36" t="n"/>
      <c r="G88" s="34" t="n"/>
      <c r="H88" s="35" t="n"/>
      <c r="I88" s="34" t="n"/>
      <c r="J88" s="37" t="n"/>
      <c r="K88" s="37" t="n"/>
      <c r="L88" s="37" t="n"/>
      <c r="M88" s="37" t="n"/>
      <c r="N88" s="37" t="n"/>
      <c r="O88" s="38">
        <f>IF($A88="","",SUM(J88:N88))</f>
        <v/>
      </c>
      <c r="P88" s="38">
        <f>IF($A88="","",ROUND((N(J88)+N(K88)+N(L88)+N(N88))*'Contract'!$B$12,2))</f>
        <v/>
      </c>
      <c r="Q88" s="38">
        <f>IF($A88="","",ROUND(N(M88)*'Contract'!$B$13,2))</f>
        <v/>
      </c>
      <c r="R88" s="38">
        <f>IF($A88="","",ROUND((O88+P88+Q88)*'Contract'!$B$14,2))</f>
        <v/>
      </c>
      <c r="S88" s="38">
        <f>IF($A88="","",O88+P88+Q88+R88)</f>
        <v/>
      </c>
      <c r="T88" s="37" t="n"/>
      <c r="U88" s="39">
        <f>IF($A88="","",IF(ISNUMBER(T88),T88,S88))</f>
        <v/>
      </c>
      <c r="V88" s="40" t="n"/>
      <c r="W88" s="34" t="n"/>
      <c r="X88" s="35" t="n"/>
      <c r="Y88" s="35" t="n"/>
      <c r="Z88" s="34" t="n"/>
      <c r="AA88" s="35" t="n"/>
      <c r="AB88" s="41">
        <f>IF(OR($A88="",AND(W88&lt;&gt;"Submitted",W88&lt;&gt;"Directive: price open",W88&lt;&gt;"Pricing")),"",'Contract'!$B$16-IF(ISNUMBER(X88),X88,IF(ISNUMBER(H88),H88,B88)))</f>
        <v/>
      </c>
      <c r="AC88" s="42">
        <f>IF($A88="","",IF(W88="","Set a status",IF(W88="Approved",IF(Y88="","Approved: enter the date it was signed","Signed"),IF(OR(W88="Rejected",W88="Void"),W88,IF(AND(G88="Verbal",H88=""),"Verbal only: confirm it in writing today",IF(AND(ISNUMBER(AA88),W88="Pricing"),"Work started, not yet priced",IF(AND(ISNUMBER(AA88),W88="Submitted"),"Work started, not signed",IF(W88="Directive: price open","Going ahead under a directive: agree the price",IF(AND(ISNUMBER(AB88),AB88&gt;'Contract'!$B$15),"Chase: waiting "&amp;AB88&amp;" days",IF(W88="Pricing","Price it and send it","Waiting for signature"))))))))))</f>
        <v/>
      </c>
      <c r="AD88" s="38">
        <f>IF($A88="","",SUMIFS(U$6:U87,W$6:W87,"Approved"))</f>
        <v/>
      </c>
      <c r="AE88" s="41">
        <f>IF($A88="","",SUMIFS(V$6:V87,W$6:W87,"Approved"))</f>
        <v/>
      </c>
      <c r="AF88" s="36" t="n"/>
      <c r="AG88" s="36" t="n"/>
    </row>
    <row r="89">
      <c r="A89" s="34" t="n"/>
      <c r="B89" s="35" t="n"/>
      <c r="C89" s="36" t="n"/>
      <c r="D89" s="36" t="n"/>
      <c r="E89" s="34" t="n"/>
      <c r="F89" s="36" t="n"/>
      <c r="G89" s="34" t="n"/>
      <c r="H89" s="35" t="n"/>
      <c r="I89" s="34" t="n"/>
      <c r="J89" s="37" t="n"/>
      <c r="K89" s="37" t="n"/>
      <c r="L89" s="37" t="n"/>
      <c r="M89" s="37" t="n"/>
      <c r="N89" s="37" t="n"/>
      <c r="O89" s="38">
        <f>IF($A89="","",SUM(J89:N89))</f>
        <v/>
      </c>
      <c r="P89" s="38">
        <f>IF($A89="","",ROUND((N(J89)+N(K89)+N(L89)+N(N89))*'Contract'!$B$12,2))</f>
        <v/>
      </c>
      <c r="Q89" s="38">
        <f>IF($A89="","",ROUND(N(M89)*'Contract'!$B$13,2))</f>
        <v/>
      </c>
      <c r="R89" s="38">
        <f>IF($A89="","",ROUND((O89+P89+Q89)*'Contract'!$B$14,2))</f>
        <v/>
      </c>
      <c r="S89" s="38">
        <f>IF($A89="","",O89+P89+Q89+R89)</f>
        <v/>
      </c>
      <c r="T89" s="37" t="n"/>
      <c r="U89" s="39">
        <f>IF($A89="","",IF(ISNUMBER(T89),T89,S89))</f>
        <v/>
      </c>
      <c r="V89" s="40" t="n"/>
      <c r="W89" s="34" t="n"/>
      <c r="X89" s="35" t="n"/>
      <c r="Y89" s="35" t="n"/>
      <c r="Z89" s="34" t="n"/>
      <c r="AA89" s="35" t="n"/>
      <c r="AB89" s="41">
        <f>IF(OR($A89="",AND(W89&lt;&gt;"Submitted",W89&lt;&gt;"Directive: price open",W89&lt;&gt;"Pricing")),"",'Contract'!$B$16-IF(ISNUMBER(X89),X89,IF(ISNUMBER(H89),H89,B89)))</f>
        <v/>
      </c>
      <c r="AC89" s="42">
        <f>IF($A89="","",IF(W89="","Set a status",IF(W89="Approved",IF(Y89="","Approved: enter the date it was signed","Signed"),IF(OR(W89="Rejected",W89="Void"),W89,IF(AND(G89="Verbal",H89=""),"Verbal only: confirm it in writing today",IF(AND(ISNUMBER(AA89),W89="Pricing"),"Work started, not yet priced",IF(AND(ISNUMBER(AA89),W89="Submitted"),"Work started, not signed",IF(W89="Directive: price open","Going ahead under a directive: agree the price",IF(AND(ISNUMBER(AB89),AB89&gt;'Contract'!$B$15),"Chase: waiting "&amp;AB89&amp;" days",IF(W89="Pricing","Price it and send it","Waiting for signature"))))))))))</f>
        <v/>
      </c>
      <c r="AD89" s="38">
        <f>IF($A89="","",SUMIFS(U$6:U88,W$6:W88,"Approved"))</f>
        <v/>
      </c>
      <c r="AE89" s="41">
        <f>IF($A89="","",SUMIFS(V$6:V88,W$6:W88,"Approved"))</f>
        <v/>
      </c>
      <c r="AF89" s="36" t="n"/>
      <c r="AG89" s="36" t="n"/>
    </row>
    <row r="90">
      <c r="A90" s="34" t="n"/>
      <c r="B90" s="35" t="n"/>
      <c r="C90" s="36" t="n"/>
      <c r="D90" s="36" t="n"/>
      <c r="E90" s="34" t="n"/>
      <c r="F90" s="36" t="n"/>
      <c r="G90" s="34" t="n"/>
      <c r="H90" s="35" t="n"/>
      <c r="I90" s="34" t="n"/>
      <c r="J90" s="37" t="n"/>
      <c r="K90" s="37" t="n"/>
      <c r="L90" s="37" t="n"/>
      <c r="M90" s="37" t="n"/>
      <c r="N90" s="37" t="n"/>
      <c r="O90" s="38">
        <f>IF($A90="","",SUM(J90:N90))</f>
        <v/>
      </c>
      <c r="P90" s="38">
        <f>IF($A90="","",ROUND((N(J90)+N(K90)+N(L90)+N(N90))*'Contract'!$B$12,2))</f>
        <v/>
      </c>
      <c r="Q90" s="38">
        <f>IF($A90="","",ROUND(N(M90)*'Contract'!$B$13,2))</f>
        <v/>
      </c>
      <c r="R90" s="38">
        <f>IF($A90="","",ROUND((O90+P90+Q90)*'Contract'!$B$14,2))</f>
        <v/>
      </c>
      <c r="S90" s="38">
        <f>IF($A90="","",O90+P90+Q90+R90)</f>
        <v/>
      </c>
      <c r="T90" s="37" t="n"/>
      <c r="U90" s="39">
        <f>IF($A90="","",IF(ISNUMBER(T90),T90,S90))</f>
        <v/>
      </c>
      <c r="V90" s="40" t="n"/>
      <c r="W90" s="34" t="n"/>
      <c r="X90" s="35" t="n"/>
      <c r="Y90" s="35" t="n"/>
      <c r="Z90" s="34" t="n"/>
      <c r="AA90" s="35" t="n"/>
      <c r="AB90" s="41">
        <f>IF(OR($A90="",AND(W90&lt;&gt;"Submitted",W90&lt;&gt;"Directive: price open",W90&lt;&gt;"Pricing")),"",'Contract'!$B$16-IF(ISNUMBER(X90),X90,IF(ISNUMBER(H90),H90,B90)))</f>
        <v/>
      </c>
      <c r="AC90" s="42">
        <f>IF($A90="","",IF(W90="","Set a status",IF(W90="Approved",IF(Y90="","Approved: enter the date it was signed","Signed"),IF(OR(W90="Rejected",W90="Void"),W90,IF(AND(G90="Verbal",H90=""),"Verbal only: confirm it in writing today",IF(AND(ISNUMBER(AA90),W90="Pricing"),"Work started, not yet priced",IF(AND(ISNUMBER(AA90),W90="Submitted"),"Work started, not signed",IF(W90="Directive: price open","Going ahead under a directive: agree the price",IF(AND(ISNUMBER(AB90),AB90&gt;'Contract'!$B$15),"Chase: waiting "&amp;AB90&amp;" days",IF(W90="Pricing","Price it and send it","Waiting for signature"))))))))))</f>
        <v/>
      </c>
      <c r="AD90" s="38">
        <f>IF($A90="","",SUMIFS(U$6:U89,W$6:W89,"Approved"))</f>
        <v/>
      </c>
      <c r="AE90" s="41">
        <f>IF($A90="","",SUMIFS(V$6:V89,W$6:W89,"Approved"))</f>
        <v/>
      </c>
      <c r="AF90" s="36" t="n"/>
      <c r="AG90" s="36" t="n"/>
    </row>
    <row r="91">
      <c r="A91" s="34" t="n"/>
      <c r="B91" s="35" t="n"/>
      <c r="C91" s="36" t="n"/>
      <c r="D91" s="36" t="n"/>
      <c r="E91" s="34" t="n"/>
      <c r="F91" s="36" t="n"/>
      <c r="G91" s="34" t="n"/>
      <c r="H91" s="35" t="n"/>
      <c r="I91" s="34" t="n"/>
      <c r="J91" s="37" t="n"/>
      <c r="K91" s="37" t="n"/>
      <c r="L91" s="37" t="n"/>
      <c r="M91" s="37" t="n"/>
      <c r="N91" s="37" t="n"/>
      <c r="O91" s="38">
        <f>IF($A91="","",SUM(J91:N91))</f>
        <v/>
      </c>
      <c r="P91" s="38">
        <f>IF($A91="","",ROUND((N(J91)+N(K91)+N(L91)+N(N91))*'Contract'!$B$12,2))</f>
        <v/>
      </c>
      <c r="Q91" s="38">
        <f>IF($A91="","",ROUND(N(M91)*'Contract'!$B$13,2))</f>
        <v/>
      </c>
      <c r="R91" s="38">
        <f>IF($A91="","",ROUND((O91+P91+Q91)*'Contract'!$B$14,2))</f>
        <v/>
      </c>
      <c r="S91" s="38">
        <f>IF($A91="","",O91+P91+Q91+R91)</f>
        <v/>
      </c>
      <c r="T91" s="37" t="n"/>
      <c r="U91" s="39">
        <f>IF($A91="","",IF(ISNUMBER(T91),T91,S91))</f>
        <v/>
      </c>
      <c r="V91" s="40" t="n"/>
      <c r="W91" s="34" t="n"/>
      <c r="X91" s="35" t="n"/>
      <c r="Y91" s="35" t="n"/>
      <c r="Z91" s="34" t="n"/>
      <c r="AA91" s="35" t="n"/>
      <c r="AB91" s="41">
        <f>IF(OR($A91="",AND(W91&lt;&gt;"Submitted",W91&lt;&gt;"Directive: price open",W91&lt;&gt;"Pricing")),"",'Contract'!$B$16-IF(ISNUMBER(X91),X91,IF(ISNUMBER(H91),H91,B91)))</f>
        <v/>
      </c>
      <c r="AC91" s="42">
        <f>IF($A91="","",IF(W91="","Set a status",IF(W91="Approved",IF(Y91="","Approved: enter the date it was signed","Signed"),IF(OR(W91="Rejected",W91="Void"),W91,IF(AND(G91="Verbal",H91=""),"Verbal only: confirm it in writing today",IF(AND(ISNUMBER(AA91),W91="Pricing"),"Work started, not yet priced",IF(AND(ISNUMBER(AA91),W91="Submitted"),"Work started, not signed",IF(W91="Directive: price open","Going ahead under a directive: agree the price",IF(AND(ISNUMBER(AB91),AB91&gt;'Contract'!$B$15),"Chase: waiting "&amp;AB91&amp;" days",IF(W91="Pricing","Price it and send it","Waiting for signature"))))))))))</f>
        <v/>
      </c>
      <c r="AD91" s="38">
        <f>IF($A91="","",SUMIFS(U$6:U90,W$6:W90,"Approved"))</f>
        <v/>
      </c>
      <c r="AE91" s="41">
        <f>IF($A91="","",SUMIFS(V$6:V90,W$6:W90,"Approved"))</f>
        <v/>
      </c>
      <c r="AF91" s="36" t="n"/>
      <c r="AG91" s="36" t="n"/>
    </row>
    <row r="92">
      <c r="A92" s="34" t="n"/>
      <c r="B92" s="35" t="n"/>
      <c r="C92" s="36" t="n"/>
      <c r="D92" s="36" t="n"/>
      <c r="E92" s="34" t="n"/>
      <c r="F92" s="36" t="n"/>
      <c r="G92" s="34" t="n"/>
      <c r="H92" s="35" t="n"/>
      <c r="I92" s="34" t="n"/>
      <c r="J92" s="37" t="n"/>
      <c r="K92" s="37" t="n"/>
      <c r="L92" s="37" t="n"/>
      <c r="M92" s="37" t="n"/>
      <c r="N92" s="37" t="n"/>
      <c r="O92" s="38">
        <f>IF($A92="","",SUM(J92:N92))</f>
        <v/>
      </c>
      <c r="P92" s="38">
        <f>IF($A92="","",ROUND((N(J92)+N(K92)+N(L92)+N(N92))*'Contract'!$B$12,2))</f>
        <v/>
      </c>
      <c r="Q92" s="38">
        <f>IF($A92="","",ROUND(N(M92)*'Contract'!$B$13,2))</f>
        <v/>
      </c>
      <c r="R92" s="38">
        <f>IF($A92="","",ROUND((O92+P92+Q92)*'Contract'!$B$14,2))</f>
        <v/>
      </c>
      <c r="S92" s="38">
        <f>IF($A92="","",O92+P92+Q92+R92)</f>
        <v/>
      </c>
      <c r="T92" s="37" t="n"/>
      <c r="U92" s="39">
        <f>IF($A92="","",IF(ISNUMBER(T92),T92,S92))</f>
        <v/>
      </c>
      <c r="V92" s="40" t="n"/>
      <c r="W92" s="34" t="n"/>
      <c r="X92" s="35" t="n"/>
      <c r="Y92" s="35" t="n"/>
      <c r="Z92" s="34" t="n"/>
      <c r="AA92" s="35" t="n"/>
      <c r="AB92" s="41">
        <f>IF(OR($A92="",AND(W92&lt;&gt;"Submitted",W92&lt;&gt;"Directive: price open",W92&lt;&gt;"Pricing")),"",'Contract'!$B$16-IF(ISNUMBER(X92),X92,IF(ISNUMBER(H92),H92,B92)))</f>
        <v/>
      </c>
      <c r="AC92" s="42">
        <f>IF($A92="","",IF(W92="","Set a status",IF(W92="Approved",IF(Y92="","Approved: enter the date it was signed","Signed"),IF(OR(W92="Rejected",W92="Void"),W92,IF(AND(G92="Verbal",H92=""),"Verbal only: confirm it in writing today",IF(AND(ISNUMBER(AA92),W92="Pricing"),"Work started, not yet priced",IF(AND(ISNUMBER(AA92),W92="Submitted"),"Work started, not signed",IF(W92="Directive: price open","Going ahead under a directive: agree the price",IF(AND(ISNUMBER(AB92),AB92&gt;'Contract'!$B$15),"Chase: waiting "&amp;AB92&amp;" days",IF(W92="Pricing","Price it and send it","Waiting for signature"))))))))))</f>
        <v/>
      </c>
      <c r="AD92" s="38">
        <f>IF($A92="","",SUMIFS(U$6:U91,W$6:W91,"Approved"))</f>
        <v/>
      </c>
      <c r="AE92" s="41">
        <f>IF($A92="","",SUMIFS(V$6:V91,W$6:W91,"Approved"))</f>
        <v/>
      </c>
      <c r="AF92" s="36" t="n"/>
      <c r="AG92" s="36" t="n"/>
    </row>
    <row r="93">
      <c r="A93" s="34" t="n"/>
      <c r="B93" s="35" t="n"/>
      <c r="C93" s="36" t="n"/>
      <c r="D93" s="36" t="n"/>
      <c r="E93" s="34" t="n"/>
      <c r="F93" s="36" t="n"/>
      <c r="G93" s="34" t="n"/>
      <c r="H93" s="35" t="n"/>
      <c r="I93" s="34" t="n"/>
      <c r="J93" s="37" t="n"/>
      <c r="K93" s="37" t="n"/>
      <c r="L93" s="37" t="n"/>
      <c r="M93" s="37" t="n"/>
      <c r="N93" s="37" t="n"/>
      <c r="O93" s="38">
        <f>IF($A93="","",SUM(J93:N93))</f>
        <v/>
      </c>
      <c r="P93" s="38">
        <f>IF($A93="","",ROUND((N(J93)+N(K93)+N(L93)+N(N93))*'Contract'!$B$12,2))</f>
        <v/>
      </c>
      <c r="Q93" s="38">
        <f>IF($A93="","",ROUND(N(M93)*'Contract'!$B$13,2))</f>
        <v/>
      </c>
      <c r="R93" s="38">
        <f>IF($A93="","",ROUND((O93+P93+Q93)*'Contract'!$B$14,2))</f>
        <v/>
      </c>
      <c r="S93" s="38">
        <f>IF($A93="","",O93+P93+Q93+R93)</f>
        <v/>
      </c>
      <c r="T93" s="37" t="n"/>
      <c r="U93" s="39">
        <f>IF($A93="","",IF(ISNUMBER(T93),T93,S93))</f>
        <v/>
      </c>
      <c r="V93" s="40" t="n"/>
      <c r="W93" s="34" t="n"/>
      <c r="X93" s="35" t="n"/>
      <c r="Y93" s="35" t="n"/>
      <c r="Z93" s="34" t="n"/>
      <c r="AA93" s="35" t="n"/>
      <c r="AB93" s="41">
        <f>IF(OR($A93="",AND(W93&lt;&gt;"Submitted",W93&lt;&gt;"Directive: price open",W93&lt;&gt;"Pricing")),"",'Contract'!$B$16-IF(ISNUMBER(X93),X93,IF(ISNUMBER(H93),H93,B93)))</f>
        <v/>
      </c>
      <c r="AC93" s="42">
        <f>IF($A93="","",IF(W93="","Set a status",IF(W93="Approved",IF(Y93="","Approved: enter the date it was signed","Signed"),IF(OR(W93="Rejected",W93="Void"),W93,IF(AND(G93="Verbal",H93=""),"Verbal only: confirm it in writing today",IF(AND(ISNUMBER(AA93),W93="Pricing"),"Work started, not yet priced",IF(AND(ISNUMBER(AA93),W93="Submitted"),"Work started, not signed",IF(W93="Directive: price open","Going ahead under a directive: agree the price",IF(AND(ISNUMBER(AB93),AB93&gt;'Contract'!$B$15),"Chase: waiting "&amp;AB93&amp;" days",IF(W93="Pricing","Price it and send it","Waiting for signature"))))))))))</f>
        <v/>
      </c>
      <c r="AD93" s="38">
        <f>IF($A93="","",SUMIFS(U$6:U92,W$6:W92,"Approved"))</f>
        <v/>
      </c>
      <c r="AE93" s="41">
        <f>IF($A93="","",SUMIFS(V$6:V92,W$6:W92,"Approved"))</f>
        <v/>
      </c>
      <c r="AF93" s="36" t="n"/>
      <c r="AG93" s="36" t="n"/>
    </row>
    <row r="94">
      <c r="A94" s="34" t="n"/>
      <c r="B94" s="35" t="n"/>
      <c r="C94" s="36" t="n"/>
      <c r="D94" s="36" t="n"/>
      <c r="E94" s="34" t="n"/>
      <c r="F94" s="36" t="n"/>
      <c r="G94" s="34" t="n"/>
      <c r="H94" s="35" t="n"/>
      <c r="I94" s="34" t="n"/>
      <c r="J94" s="37" t="n"/>
      <c r="K94" s="37" t="n"/>
      <c r="L94" s="37" t="n"/>
      <c r="M94" s="37" t="n"/>
      <c r="N94" s="37" t="n"/>
      <c r="O94" s="38">
        <f>IF($A94="","",SUM(J94:N94))</f>
        <v/>
      </c>
      <c r="P94" s="38">
        <f>IF($A94="","",ROUND((N(J94)+N(K94)+N(L94)+N(N94))*'Contract'!$B$12,2))</f>
        <v/>
      </c>
      <c r="Q94" s="38">
        <f>IF($A94="","",ROUND(N(M94)*'Contract'!$B$13,2))</f>
        <v/>
      </c>
      <c r="R94" s="38">
        <f>IF($A94="","",ROUND((O94+P94+Q94)*'Contract'!$B$14,2))</f>
        <v/>
      </c>
      <c r="S94" s="38">
        <f>IF($A94="","",O94+P94+Q94+R94)</f>
        <v/>
      </c>
      <c r="T94" s="37" t="n"/>
      <c r="U94" s="39">
        <f>IF($A94="","",IF(ISNUMBER(T94),T94,S94))</f>
        <v/>
      </c>
      <c r="V94" s="40" t="n"/>
      <c r="W94" s="34" t="n"/>
      <c r="X94" s="35" t="n"/>
      <c r="Y94" s="35" t="n"/>
      <c r="Z94" s="34" t="n"/>
      <c r="AA94" s="35" t="n"/>
      <c r="AB94" s="41">
        <f>IF(OR($A94="",AND(W94&lt;&gt;"Submitted",W94&lt;&gt;"Directive: price open",W94&lt;&gt;"Pricing")),"",'Contract'!$B$16-IF(ISNUMBER(X94),X94,IF(ISNUMBER(H94),H94,B94)))</f>
        <v/>
      </c>
      <c r="AC94" s="42">
        <f>IF($A94="","",IF(W94="","Set a status",IF(W94="Approved",IF(Y94="","Approved: enter the date it was signed","Signed"),IF(OR(W94="Rejected",W94="Void"),W94,IF(AND(G94="Verbal",H94=""),"Verbal only: confirm it in writing today",IF(AND(ISNUMBER(AA94),W94="Pricing"),"Work started, not yet priced",IF(AND(ISNUMBER(AA94),W94="Submitted"),"Work started, not signed",IF(W94="Directive: price open","Going ahead under a directive: agree the price",IF(AND(ISNUMBER(AB94),AB94&gt;'Contract'!$B$15),"Chase: waiting "&amp;AB94&amp;" days",IF(W94="Pricing","Price it and send it","Waiting for signature"))))))))))</f>
        <v/>
      </c>
      <c r="AD94" s="38">
        <f>IF($A94="","",SUMIFS(U$6:U93,W$6:W93,"Approved"))</f>
        <v/>
      </c>
      <c r="AE94" s="41">
        <f>IF($A94="","",SUMIFS(V$6:V93,W$6:W93,"Approved"))</f>
        <v/>
      </c>
      <c r="AF94" s="36" t="n"/>
      <c r="AG94" s="36" t="n"/>
    </row>
    <row r="95">
      <c r="A95" s="34" t="n"/>
      <c r="B95" s="35" t="n"/>
      <c r="C95" s="36" t="n"/>
      <c r="D95" s="36" t="n"/>
      <c r="E95" s="34" t="n"/>
      <c r="F95" s="36" t="n"/>
      <c r="G95" s="34" t="n"/>
      <c r="H95" s="35" t="n"/>
      <c r="I95" s="34" t="n"/>
      <c r="J95" s="37" t="n"/>
      <c r="K95" s="37" t="n"/>
      <c r="L95" s="37" t="n"/>
      <c r="M95" s="37" t="n"/>
      <c r="N95" s="37" t="n"/>
      <c r="O95" s="38">
        <f>IF($A95="","",SUM(J95:N95))</f>
        <v/>
      </c>
      <c r="P95" s="38">
        <f>IF($A95="","",ROUND((N(J95)+N(K95)+N(L95)+N(N95))*'Contract'!$B$12,2))</f>
        <v/>
      </c>
      <c r="Q95" s="38">
        <f>IF($A95="","",ROUND(N(M95)*'Contract'!$B$13,2))</f>
        <v/>
      </c>
      <c r="R95" s="38">
        <f>IF($A95="","",ROUND((O95+P95+Q95)*'Contract'!$B$14,2))</f>
        <v/>
      </c>
      <c r="S95" s="38">
        <f>IF($A95="","",O95+P95+Q95+R95)</f>
        <v/>
      </c>
      <c r="T95" s="37" t="n"/>
      <c r="U95" s="39">
        <f>IF($A95="","",IF(ISNUMBER(T95),T95,S95))</f>
        <v/>
      </c>
      <c r="V95" s="40" t="n"/>
      <c r="W95" s="34" t="n"/>
      <c r="X95" s="35" t="n"/>
      <c r="Y95" s="35" t="n"/>
      <c r="Z95" s="34" t="n"/>
      <c r="AA95" s="35" t="n"/>
      <c r="AB95" s="41">
        <f>IF(OR($A95="",AND(W95&lt;&gt;"Submitted",W95&lt;&gt;"Directive: price open",W95&lt;&gt;"Pricing")),"",'Contract'!$B$16-IF(ISNUMBER(X95),X95,IF(ISNUMBER(H95),H95,B95)))</f>
        <v/>
      </c>
      <c r="AC95" s="42">
        <f>IF($A95="","",IF(W95="","Set a status",IF(W95="Approved",IF(Y95="","Approved: enter the date it was signed","Signed"),IF(OR(W95="Rejected",W95="Void"),W95,IF(AND(G95="Verbal",H95=""),"Verbal only: confirm it in writing today",IF(AND(ISNUMBER(AA95),W95="Pricing"),"Work started, not yet priced",IF(AND(ISNUMBER(AA95),W95="Submitted"),"Work started, not signed",IF(W95="Directive: price open","Going ahead under a directive: agree the price",IF(AND(ISNUMBER(AB95),AB95&gt;'Contract'!$B$15),"Chase: waiting "&amp;AB95&amp;" days",IF(W95="Pricing","Price it and send it","Waiting for signature"))))))))))</f>
        <v/>
      </c>
      <c r="AD95" s="38">
        <f>IF($A95="","",SUMIFS(U$6:U94,W$6:W94,"Approved"))</f>
        <v/>
      </c>
      <c r="AE95" s="41">
        <f>IF($A95="","",SUMIFS(V$6:V94,W$6:W94,"Approved"))</f>
        <v/>
      </c>
      <c r="AF95" s="36" t="n"/>
      <c r="AG95" s="36" t="n"/>
    </row>
    <row r="96">
      <c r="A96" s="34" t="n"/>
      <c r="B96" s="35" t="n"/>
      <c r="C96" s="36" t="n"/>
      <c r="D96" s="36" t="n"/>
      <c r="E96" s="34" t="n"/>
      <c r="F96" s="36" t="n"/>
      <c r="G96" s="34" t="n"/>
      <c r="H96" s="35" t="n"/>
      <c r="I96" s="34" t="n"/>
      <c r="J96" s="37" t="n"/>
      <c r="K96" s="37" t="n"/>
      <c r="L96" s="37" t="n"/>
      <c r="M96" s="37" t="n"/>
      <c r="N96" s="37" t="n"/>
      <c r="O96" s="38">
        <f>IF($A96="","",SUM(J96:N96))</f>
        <v/>
      </c>
      <c r="P96" s="38">
        <f>IF($A96="","",ROUND((N(J96)+N(K96)+N(L96)+N(N96))*'Contract'!$B$12,2))</f>
        <v/>
      </c>
      <c r="Q96" s="38">
        <f>IF($A96="","",ROUND(N(M96)*'Contract'!$B$13,2))</f>
        <v/>
      </c>
      <c r="R96" s="38">
        <f>IF($A96="","",ROUND((O96+P96+Q96)*'Contract'!$B$14,2))</f>
        <v/>
      </c>
      <c r="S96" s="38">
        <f>IF($A96="","",O96+P96+Q96+R96)</f>
        <v/>
      </c>
      <c r="T96" s="37" t="n"/>
      <c r="U96" s="39">
        <f>IF($A96="","",IF(ISNUMBER(T96),T96,S96))</f>
        <v/>
      </c>
      <c r="V96" s="40" t="n"/>
      <c r="W96" s="34" t="n"/>
      <c r="X96" s="35" t="n"/>
      <c r="Y96" s="35" t="n"/>
      <c r="Z96" s="34" t="n"/>
      <c r="AA96" s="35" t="n"/>
      <c r="AB96" s="41">
        <f>IF(OR($A96="",AND(W96&lt;&gt;"Submitted",W96&lt;&gt;"Directive: price open",W96&lt;&gt;"Pricing")),"",'Contract'!$B$16-IF(ISNUMBER(X96),X96,IF(ISNUMBER(H96),H96,B96)))</f>
        <v/>
      </c>
      <c r="AC96" s="42">
        <f>IF($A96="","",IF(W96="","Set a status",IF(W96="Approved",IF(Y96="","Approved: enter the date it was signed","Signed"),IF(OR(W96="Rejected",W96="Void"),W96,IF(AND(G96="Verbal",H96=""),"Verbal only: confirm it in writing today",IF(AND(ISNUMBER(AA96),W96="Pricing"),"Work started, not yet priced",IF(AND(ISNUMBER(AA96),W96="Submitted"),"Work started, not signed",IF(W96="Directive: price open","Going ahead under a directive: agree the price",IF(AND(ISNUMBER(AB96),AB96&gt;'Contract'!$B$15),"Chase: waiting "&amp;AB96&amp;" days",IF(W96="Pricing","Price it and send it","Waiting for signature"))))))))))</f>
        <v/>
      </c>
      <c r="AD96" s="38">
        <f>IF($A96="","",SUMIFS(U$6:U95,W$6:W95,"Approved"))</f>
        <v/>
      </c>
      <c r="AE96" s="41">
        <f>IF($A96="","",SUMIFS(V$6:V95,W$6:W95,"Approved"))</f>
        <v/>
      </c>
      <c r="AF96" s="36" t="n"/>
      <c r="AG96" s="36" t="n"/>
    </row>
    <row r="97">
      <c r="A97" s="34" t="n"/>
      <c r="B97" s="35" t="n"/>
      <c r="C97" s="36" t="n"/>
      <c r="D97" s="36" t="n"/>
      <c r="E97" s="34" t="n"/>
      <c r="F97" s="36" t="n"/>
      <c r="G97" s="34" t="n"/>
      <c r="H97" s="35" t="n"/>
      <c r="I97" s="34" t="n"/>
      <c r="J97" s="37" t="n"/>
      <c r="K97" s="37" t="n"/>
      <c r="L97" s="37" t="n"/>
      <c r="M97" s="37" t="n"/>
      <c r="N97" s="37" t="n"/>
      <c r="O97" s="38">
        <f>IF($A97="","",SUM(J97:N97))</f>
        <v/>
      </c>
      <c r="P97" s="38">
        <f>IF($A97="","",ROUND((N(J97)+N(K97)+N(L97)+N(N97))*'Contract'!$B$12,2))</f>
        <v/>
      </c>
      <c r="Q97" s="38">
        <f>IF($A97="","",ROUND(N(M97)*'Contract'!$B$13,2))</f>
        <v/>
      </c>
      <c r="R97" s="38">
        <f>IF($A97="","",ROUND((O97+P97+Q97)*'Contract'!$B$14,2))</f>
        <v/>
      </c>
      <c r="S97" s="38">
        <f>IF($A97="","",O97+P97+Q97+R97)</f>
        <v/>
      </c>
      <c r="T97" s="37" t="n"/>
      <c r="U97" s="39">
        <f>IF($A97="","",IF(ISNUMBER(T97),T97,S97))</f>
        <v/>
      </c>
      <c r="V97" s="40" t="n"/>
      <c r="W97" s="34" t="n"/>
      <c r="X97" s="35" t="n"/>
      <c r="Y97" s="35" t="n"/>
      <c r="Z97" s="34" t="n"/>
      <c r="AA97" s="35" t="n"/>
      <c r="AB97" s="41">
        <f>IF(OR($A97="",AND(W97&lt;&gt;"Submitted",W97&lt;&gt;"Directive: price open",W97&lt;&gt;"Pricing")),"",'Contract'!$B$16-IF(ISNUMBER(X97),X97,IF(ISNUMBER(H97),H97,B97)))</f>
        <v/>
      </c>
      <c r="AC97" s="42">
        <f>IF($A97="","",IF(W97="","Set a status",IF(W97="Approved",IF(Y97="","Approved: enter the date it was signed","Signed"),IF(OR(W97="Rejected",W97="Void"),W97,IF(AND(G97="Verbal",H97=""),"Verbal only: confirm it in writing today",IF(AND(ISNUMBER(AA97),W97="Pricing"),"Work started, not yet priced",IF(AND(ISNUMBER(AA97),W97="Submitted"),"Work started, not signed",IF(W97="Directive: price open","Going ahead under a directive: agree the price",IF(AND(ISNUMBER(AB97),AB97&gt;'Contract'!$B$15),"Chase: waiting "&amp;AB97&amp;" days",IF(W97="Pricing","Price it and send it","Waiting for signature"))))))))))</f>
        <v/>
      </c>
      <c r="AD97" s="38">
        <f>IF($A97="","",SUMIFS(U$6:U96,W$6:W96,"Approved"))</f>
        <v/>
      </c>
      <c r="AE97" s="41">
        <f>IF($A97="","",SUMIFS(V$6:V96,W$6:W96,"Approved"))</f>
        <v/>
      </c>
      <c r="AF97" s="36" t="n"/>
      <c r="AG97" s="36" t="n"/>
    </row>
    <row r="98">
      <c r="A98" s="34" t="n"/>
      <c r="B98" s="35" t="n"/>
      <c r="C98" s="36" t="n"/>
      <c r="D98" s="36" t="n"/>
      <c r="E98" s="34" t="n"/>
      <c r="F98" s="36" t="n"/>
      <c r="G98" s="34" t="n"/>
      <c r="H98" s="35" t="n"/>
      <c r="I98" s="34" t="n"/>
      <c r="J98" s="37" t="n"/>
      <c r="K98" s="37" t="n"/>
      <c r="L98" s="37" t="n"/>
      <c r="M98" s="37" t="n"/>
      <c r="N98" s="37" t="n"/>
      <c r="O98" s="38">
        <f>IF($A98="","",SUM(J98:N98))</f>
        <v/>
      </c>
      <c r="P98" s="38">
        <f>IF($A98="","",ROUND((N(J98)+N(K98)+N(L98)+N(N98))*'Contract'!$B$12,2))</f>
        <v/>
      </c>
      <c r="Q98" s="38">
        <f>IF($A98="","",ROUND(N(M98)*'Contract'!$B$13,2))</f>
        <v/>
      </c>
      <c r="R98" s="38">
        <f>IF($A98="","",ROUND((O98+P98+Q98)*'Contract'!$B$14,2))</f>
        <v/>
      </c>
      <c r="S98" s="38">
        <f>IF($A98="","",O98+P98+Q98+R98)</f>
        <v/>
      </c>
      <c r="T98" s="37" t="n"/>
      <c r="U98" s="39">
        <f>IF($A98="","",IF(ISNUMBER(T98),T98,S98))</f>
        <v/>
      </c>
      <c r="V98" s="40" t="n"/>
      <c r="W98" s="34" t="n"/>
      <c r="X98" s="35" t="n"/>
      <c r="Y98" s="35" t="n"/>
      <c r="Z98" s="34" t="n"/>
      <c r="AA98" s="35" t="n"/>
      <c r="AB98" s="41">
        <f>IF(OR($A98="",AND(W98&lt;&gt;"Submitted",W98&lt;&gt;"Directive: price open",W98&lt;&gt;"Pricing")),"",'Contract'!$B$16-IF(ISNUMBER(X98),X98,IF(ISNUMBER(H98),H98,B98)))</f>
        <v/>
      </c>
      <c r="AC98" s="42">
        <f>IF($A98="","",IF(W98="","Set a status",IF(W98="Approved",IF(Y98="","Approved: enter the date it was signed","Signed"),IF(OR(W98="Rejected",W98="Void"),W98,IF(AND(G98="Verbal",H98=""),"Verbal only: confirm it in writing today",IF(AND(ISNUMBER(AA98),W98="Pricing"),"Work started, not yet priced",IF(AND(ISNUMBER(AA98),W98="Submitted"),"Work started, not signed",IF(W98="Directive: price open","Going ahead under a directive: agree the price",IF(AND(ISNUMBER(AB98),AB98&gt;'Contract'!$B$15),"Chase: waiting "&amp;AB98&amp;" days",IF(W98="Pricing","Price it and send it","Waiting for signature"))))))))))</f>
        <v/>
      </c>
      <c r="AD98" s="38">
        <f>IF($A98="","",SUMIFS(U$6:U97,W$6:W97,"Approved"))</f>
        <v/>
      </c>
      <c r="AE98" s="41">
        <f>IF($A98="","",SUMIFS(V$6:V97,W$6:W97,"Approved"))</f>
        <v/>
      </c>
      <c r="AF98" s="36" t="n"/>
      <c r="AG98" s="36" t="n"/>
    </row>
    <row r="99">
      <c r="A99" s="34" t="n"/>
      <c r="B99" s="35" t="n"/>
      <c r="C99" s="36" t="n"/>
      <c r="D99" s="36" t="n"/>
      <c r="E99" s="34" t="n"/>
      <c r="F99" s="36" t="n"/>
      <c r="G99" s="34" t="n"/>
      <c r="H99" s="35" t="n"/>
      <c r="I99" s="34" t="n"/>
      <c r="J99" s="37" t="n"/>
      <c r="K99" s="37" t="n"/>
      <c r="L99" s="37" t="n"/>
      <c r="M99" s="37" t="n"/>
      <c r="N99" s="37" t="n"/>
      <c r="O99" s="38">
        <f>IF($A99="","",SUM(J99:N99))</f>
        <v/>
      </c>
      <c r="P99" s="38">
        <f>IF($A99="","",ROUND((N(J99)+N(K99)+N(L99)+N(N99))*'Contract'!$B$12,2))</f>
        <v/>
      </c>
      <c r="Q99" s="38">
        <f>IF($A99="","",ROUND(N(M99)*'Contract'!$B$13,2))</f>
        <v/>
      </c>
      <c r="R99" s="38">
        <f>IF($A99="","",ROUND((O99+P99+Q99)*'Contract'!$B$14,2))</f>
        <v/>
      </c>
      <c r="S99" s="38">
        <f>IF($A99="","",O99+P99+Q99+R99)</f>
        <v/>
      </c>
      <c r="T99" s="37" t="n"/>
      <c r="U99" s="39">
        <f>IF($A99="","",IF(ISNUMBER(T99),T99,S99))</f>
        <v/>
      </c>
      <c r="V99" s="40" t="n"/>
      <c r="W99" s="34" t="n"/>
      <c r="X99" s="35" t="n"/>
      <c r="Y99" s="35" t="n"/>
      <c r="Z99" s="34" t="n"/>
      <c r="AA99" s="35" t="n"/>
      <c r="AB99" s="41">
        <f>IF(OR($A99="",AND(W99&lt;&gt;"Submitted",W99&lt;&gt;"Directive: price open",W99&lt;&gt;"Pricing")),"",'Contract'!$B$16-IF(ISNUMBER(X99),X99,IF(ISNUMBER(H99),H99,B99)))</f>
        <v/>
      </c>
      <c r="AC99" s="42">
        <f>IF($A99="","",IF(W99="","Set a status",IF(W99="Approved",IF(Y99="","Approved: enter the date it was signed","Signed"),IF(OR(W99="Rejected",W99="Void"),W99,IF(AND(G99="Verbal",H99=""),"Verbal only: confirm it in writing today",IF(AND(ISNUMBER(AA99),W99="Pricing"),"Work started, not yet priced",IF(AND(ISNUMBER(AA99),W99="Submitted"),"Work started, not signed",IF(W99="Directive: price open","Going ahead under a directive: agree the price",IF(AND(ISNUMBER(AB99),AB99&gt;'Contract'!$B$15),"Chase: waiting "&amp;AB99&amp;" days",IF(W99="Pricing","Price it and send it","Waiting for signature"))))))))))</f>
        <v/>
      </c>
      <c r="AD99" s="38">
        <f>IF($A99="","",SUMIFS(U$6:U98,W$6:W98,"Approved"))</f>
        <v/>
      </c>
      <c r="AE99" s="41">
        <f>IF($A99="","",SUMIFS(V$6:V98,W$6:W98,"Approved"))</f>
        <v/>
      </c>
      <c r="AF99" s="36" t="n"/>
      <c r="AG99" s="36" t="n"/>
    </row>
    <row r="100">
      <c r="A100" s="34" t="n"/>
      <c r="B100" s="35" t="n"/>
      <c r="C100" s="36" t="n"/>
      <c r="D100" s="36" t="n"/>
      <c r="E100" s="34" t="n"/>
      <c r="F100" s="36" t="n"/>
      <c r="G100" s="34" t="n"/>
      <c r="H100" s="35" t="n"/>
      <c r="I100" s="34" t="n"/>
      <c r="J100" s="37" t="n"/>
      <c r="K100" s="37" t="n"/>
      <c r="L100" s="37" t="n"/>
      <c r="M100" s="37" t="n"/>
      <c r="N100" s="37" t="n"/>
      <c r="O100" s="38">
        <f>IF($A100="","",SUM(J100:N100))</f>
        <v/>
      </c>
      <c r="P100" s="38">
        <f>IF($A100="","",ROUND((N(J100)+N(K100)+N(L100)+N(N100))*'Contract'!$B$12,2))</f>
        <v/>
      </c>
      <c r="Q100" s="38">
        <f>IF($A100="","",ROUND(N(M100)*'Contract'!$B$13,2))</f>
        <v/>
      </c>
      <c r="R100" s="38">
        <f>IF($A100="","",ROUND((O100+P100+Q100)*'Contract'!$B$14,2))</f>
        <v/>
      </c>
      <c r="S100" s="38">
        <f>IF($A100="","",O100+P100+Q100+R100)</f>
        <v/>
      </c>
      <c r="T100" s="37" t="n"/>
      <c r="U100" s="39">
        <f>IF($A100="","",IF(ISNUMBER(T100),T100,S100))</f>
        <v/>
      </c>
      <c r="V100" s="40" t="n"/>
      <c r="W100" s="34" t="n"/>
      <c r="X100" s="35" t="n"/>
      <c r="Y100" s="35" t="n"/>
      <c r="Z100" s="34" t="n"/>
      <c r="AA100" s="35" t="n"/>
      <c r="AB100" s="41">
        <f>IF(OR($A100="",AND(W100&lt;&gt;"Submitted",W100&lt;&gt;"Directive: price open",W100&lt;&gt;"Pricing")),"",'Contract'!$B$16-IF(ISNUMBER(X100),X100,IF(ISNUMBER(H100),H100,B100)))</f>
        <v/>
      </c>
      <c r="AC100" s="42">
        <f>IF($A100="","",IF(W100="","Set a status",IF(W100="Approved",IF(Y100="","Approved: enter the date it was signed","Signed"),IF(OR(W100="Rejected",W100="Void"),W100,IF(AND(G100="Verbal",H100=""),"Verbal only: confirm it in writing today",IF(AND(ISNUMBER(AA100),W100="Pricing"),"Work started, not yet priced",IF(AND(ISNUMBER(AA100),W100="Submitted"),"Work started, not signed",IF(W100="Directive: price open","Going ahead under a directive: agree the price",IF(AND(ISNUMBER(AB100),AB100&gt;'Contract'!$B$15),"Chase: waiting "&amp;AB100&amp;" days",IF(W100="Pricing","Price it and send it","Waiting for signature"))))))))))</f>
        <v/>
      </c>
      <c r="AD100" s="38">
        <f>IF($A100="","",SUMIFS(U$6:U99,W$6:W99,"Approved"))</f>
        <v/>
      </c>
      <c r="AE100" s="41">
        <f>IF($A100="","",SUMIFS(V$6:V99,W$6:W99,"Approved"))</f>
        <v/>
      </c>
      <c r="AF100" s="36" t="n"/>
      <c r="AG100" s="36" t="n"/>
    </row>
    <row r="101">
      <c r="A101" s="34" t="n"/>
      <c r="B101" s="35" t="n"/>
      <c r="C101" s="36" t="n"/>
      <c r="D101" s="36" t="n"/>
      <c r="E101" s="34" t="n"/>
      <c r="F101" s="36" t="n"/>
      <c r="G101" s="34" t="n"/>
      <c r="H101" s="35" t="n"/>
      <c r="I101" s="34" t="n"/>
      <c r="J101" s="37" t="n"/>
      <c r="K101" s="37" t="n"/>
      <c r="L101" s="37" t="n"/>
      <c r="M101" s="37" t="n"/>
      <c r="N101" s="37" t="n"/>
      <c r="O101" s="38">
        <f>IF($A101="","",SUM(J101:N101))</f>
        <v/>
      </c>
      <c r="P101" s="38">
        <f>IF($A101="","",ROUND((N(J101)+N(K101)+N(L101)+N(N101))*'Contract'!$B$12,2))</f>
        <v/>
      </c>
      <c r="Q101" s="38">
        <f>IF($A101="","",ROUND(N(M101)*'Contract'!$B$13,2))</f>
        <v/>
      </c>
      <c r="R101" s="38">
        <f>IF($A101="","",ROUND((O101+P101+Q101)*'Contract'!$B$14,2))</f>
        <v/>
      </c>
      <c r="S101" s="38">
        <f>IF($A101="","",O101+P101+Q101+R101)</f>
        <v/>
      </c>
      <c r="T101" s="37" t="n"/>
      <c r="U101" s="39">
        <f>IF($A101="","",IF(ISNUMBER(T101),T101,S101))</f>
        <v/>
      </c>
      <c r="V101" s="40" t="n"/>
      <c r="W101" s="34" t="n"/>
      <c r="X101" s="35" t="n"/>
      <c r="Y101" s="35" t="n"/>
      <c r="Z101" s="34" t="n"/>
      <c r="AA101" s="35" t="n"/>
      <c r="AB101" s="41">
        <f>IF(OR($A101="",AND(W101&lt;&gt;"Submitted",W101&lt;&gt;"Directive: price open",W101&lt;&gt;"Pricing")),"",'Contract'!$B$16-IF(ISNUMBER(X101),X101,IF(ISNUMBER(H101),H101,B101)))</f>
        <v/>
      </c>
      <c r="AC101" s="42">
        <f>IF($A101="","",IF(W101="","Set a status",IF(W101="Approved",IF(Y101="","Approved: enter the date it was signed","Signed"),IF(OR(W101="Rejected",W101="Void"),W101,IF(AND(G101="Verbal",H101=""),"Verbal only: confirm it in writing today",IF(AND(ISNUMBER(AA101),W101="Pricing"),"Work started, not yet priced",IF(AND(ISNUMBER(AA101),W101="Submitted"),"Work started, not signed",IF(W101="Directive: price open","Going ahead under a directive: agree the price",IF(AND(ISNUMBER(AB101),AB101&gt;'Contract'!$B$15),"Chase: waiting "&amp;AB101&amp;" days",IF(W101="Pricing","Price it and send it","Waiting for signature"))))))))))</f>
        <v/>
      </c>
      <c r="AD101" s="38">
        <f>IF($A101="","",SUMIFS(U$6:U100,W$6:W100,"Approved"))</f>
        <v/>
      </c>
      <c r="AE101" s="41">
        <f>IF($A101="","",SUMIFS(V$6:V100,W$6:W100,"Approved"))</f>
        <v/>
      </c>
      <c r="AF101" s="36" t="n"/>
      <c r="AG101" s="36" t="n"/>
    </row>
    <row r="102">
      <c r="A102" s="34" t="n"/>
      <c r="B102" s="35" t="n"/>
      <c r="C102" s="36" t="n"/>
      <c r="D102" s="36" t="n"/>
      <c r="E102" s="34" t="n"/>
      <c r="F102" s="36" t="n"/>
      <c r="G102" s="34" t="n"/>
      <c r="H102" s="35" t="n"/>
      <c r="I102" s="34" t="n"/>
      <c r="J102" s="37" t="n"/>
      <c r="K102" s="37" t="n"/>
      <c r="L102" s="37" t="n"/>
      <c r="M102" s="37" t="n"/>
      <c r="N102" s="37" t="n"/>
      <c r="O102" s="38">
        <f>IF($A102="","",SUM(J102:N102))</f>
        <v/>
      </c>
      <c r="P102" s="38">
        <f>IF($A102="","",ROUND((N(J102)+N(K102)+N(L102)+N(N102))*'Contract'!$B$12,2))</f>
        <v/>
      </c>
      <c r="Q102" s="38">
        <f>IF($A102="","",ROUND(N(M102)*'Contract'!$B$13,2))</f>
        <v/>
      </c>
      <c r="R102" s="38">
        <f>IF($A102="","",ROUND((O102+P102+Q102)*'Contract'!$B$14,2))</f>
        <v/>
      </c>
      <c r="S102" s="38">
        <f>IF($A102="","",O102+P102+Q102+R102)</f>
        <v/>
      </c>
      <c r="T102" s="37" t="n"/>
      <c r="U102" s="39">
        <f>IF($A102="","",IF(ISNUMBER(T102),T102,S102))</f>
        <v/>
      </c>
      <c r="V102" s="40" t="n"/>
      <c r="W102" s="34" t="n"/>
      <c r="X102" s="35" t="n"/>
      <c r="Y102" s="35" t="n"/>
      <c r="Z102" s="34" t="n"/>
      <c r="AA102" s="35" t="n"/>
      <c r="AB102" s="41">
        <f>IF(OR($A102="",AND(W102&lt;&gt;"Submitted",W102&lt;&gt;"Directive: price open",W102&lt;&gt;"Pricing")),"",'Contract'!$B$16-IF(ISNUMBER(X102),X102,IF(ISNUMBER(H102),H102,B102)))</f>
        <v/>
      </c>
      <c r="AC102" s="42">
        <f>IF($A102="","",IF(W102="","Set a status",IF(W102="Approved",IF(Y102="","Approved: enter the date it was signed","Signed"),IF(OR(W102="Rejected",W102="Void"),W102,IF(AND(G102="Verbal",H102=""),"Verbal only: confirm it in writing today",IF(AND(ISNUMBER(AA102),W102="Pricing"),"Work started, not yet priced",IF(AND(ISNUMBER(AA102),W102="Submitted"),"Work started, not signed",IF(W102="Directive: price open","Going ahead under a directive: agree the price",IF(AND(ISNUMBER(AB102),AB102&gt;'Contract'!$B$15),"Chase: waiting "&amp;AB102&amp;" days",IF(W102="Pricing","Price it and send it","Waiting for signature"))))))))))</f>
        <v/>
      </c>
      <c r="AD102" s="38">
        <f>IF($A102="","",SUMIFS(U$6:U101,W$6:W101,"Approved"))</f>
        <v/>
      </c>
      <c r="AE102" s="41">
        <f>IF($A102="","",SUMIFS(V$6:V101,W$6:W101,"Approved"))</f>
        <v/>
      </c>
      <c r="AF102" s="36" t="n"/>
      <c r="AG102" s="36" t="n"/>
    </row>
    <row r="103">
      <c r="A103" s="34" t="n"/>
      <c r="B103" s="35" t="n"/>
      <c r="C103" s="36" t="n"/>
      <c r="D103" s="36" t="n"/>
      <c r="E103" s="34" t="n"/>
      <c r="F103" s="36" t="n"/>
      <c r="G103" s="34" t="n"/>
      <c r="H103" s="35" t="n"/>
      <c r="I103" s="34" t="n"/>
      <c r="J103" s="37" t="n"/>
      <c r="K103" s="37" t="n"/>
      <c r="L103" s="37" t="n"/>
      <c r="M103" s="37" t="n"/>
      <c r="N103" s="37" t="n"/>
      <c r="O103" s="38">
        <f>IF($A103="","",SUM(J103:N103))</f>
        <v/>
      </c>
      <c r="P103" s="38">
        <f>IF($A103="","",ROUND((N(J103)+N(K103)+N(L103)+N(N103))*'Contract'!$B$12,2))</f>
        <v/>
      </c>
      <c r="Q103" s="38">
        <f>IF($A103="","",ROUND(N(M103)*'Contract'!$B$13,2))</f>
        <v/>
      </c>
      <c r="R103" s="38">
        <f>IF($A103="","",ROUND((O103+P103+Q103)*'Contract'!$B$14,2))</f>
        <v/>
      </c>
      <c r="S103" s="38">
        <f>IF($A103="","",O103+P103+Q103+R103)</f>
        <v/>
      </c>
      <c r="T103" s="37" t="n"/>
      <c r="U103" s="39">
        <f>IF($A103="","",IF(ISNUMBER(T103),T103,S103))</f>
        <v/>
      </c>
      <c r="V103" s="40" t="n"/>
      <c r="W103" s="34" t="n"/>
      <c r="X103" s="35" t="n"/>
      <c r="Y103" s="35" t="n"/>
      <c r="Z103" s="34" t="n"/>
      <c r="AA103" s="35" t="n"/>
      <c r="AB103" s="41">
        <f>IF(OR($A103="",AND(W103&lt;&gt;"Submitted",W103&lt;&gt;"Directive: price open",W103&lt;&gt;"Pricing")),"",'Contract'!$B$16-IF(ISNUMBER(X103),X103,IF(ISNUMBER(H103),H103,B103)))</f>
        <v/>
      </c>
      <c r="AC103" s="42">
        <f>IF($A103="","",IF(W103="","Set a status",IF(W103="Approved",IF(Y103="","Approved: enter the date it was signed","Signed"),IF(OR(W103="Rejected",W103="Void"),W103,IF(AND(G103="Verbal",H103=""),"Verbal only: confirm it in writing today",IF(AND(ISNUMBER(AA103),W103="Pricing"),"Work started, not yet priced",IF(AND(ISNUMBER(AA103),W103="Submitted"),"Work started, not signed",IF(W103="Directive: price open","Going ahead under a directive: agree the price",IF(AND(ISNUMBER(AB103),AB103&gt;'Contract'!$B$15),"Chase: waiting "&amp;AB103&amp;" days",IF(W103="Pricing","Price it and send it","Waiting for signature"))))))))))</f>
        <v/>
      </c>
      <c r="AD103" s="38">
        <f>IF($A103="","",SUMIFS(U$6:U102,W$6:W102,"Approved"))</f>
        <v/>
      </c>
      <c r="AE103" s="41">
        <f>IF($A103="","",SUMIFS(V$6:V102,W$6:W102,"Approved"))</f>
        <v/>
      </c>
      <c r="AF103" s="36" t="n"/>
      <c r="AG103" s="36" t="n"/>
    </row>
    <row r="104">
      <c r="A104" s="34" t="n"/>
      <c r="B104" s="35" t="n"/>
      <c r="C104" s="36" t="n"/>
      <c r="D104" s="36" t="n"/>
      <c r="E104" s="34" t="n"/>
      <c r="F104" s="36" t="n"/>
      <c r="G104" s="34" t="n"/>
      <c r="H104" s="35" t="n"/>
      <c r="I104" s="34" t="n"/>
      <c r="J104" s="37" t="n"/>
      <c r="K104" s="37" t="n"/>
      <c r="L104" s="37" t="n"/>
      <c r="M104" s="37" t="n"/>
      <c r="N104" s="37" t="n"/>
      <c r="O104" s="38">
        <f>IF($A104="","",SUM(J104:N104))</f>
        <v/>
      </c>
      <c r="P104" s="38">
        <f>IF($A104="","",ROUND((N(J104)+N(K104)+N(L104)+N(N104))*'Contract'!$B$12,2))</f>
        <v/>
      </c>
      <c r="Q104" s="38">
        <f>IF($A104="","",ROUND(N(M104)*'Contract'!$B$13,2))</f>
        <v/>
      </c>
      <c r="R104" s="38">
        <f>IF($A104="","",ROUND((O104+P104+Q104)*'Contract'!$B$14,2))</f>
        <v/>
      </c>
      <c r="S104" s="38">
        <f>IF($A104="","",O104+P104+Q104+R104)</f>
        <v/>
      </c>
      <c r="T104" s="37" t="n"/>
      <c r="U104" s="39">
        <f>IF($A104="","",IF(ISNUMBER(T104),T104,S104))</f>
        <v/>
      </c>
      <c r="V104" s="40" t="n"/>
      <c r="W104" s="34" t="n"/>
      <c r="X104" s="35" t="n"/>
      <c r="Y104" s="35" t="n"/>
      <c r="Z104" s="34" t="n"/>
      <c r="AA104" s="35" t="n"/>
      <c r="AB104" s="41">
        <f>IF(OR($A104="",AND(W104&lt;&gt;"Submitted",W104&lt;&gt;"Directive: price open",W104&lt;&gt;"Pricing")),"",'Contract'!$B$16-IF(ISNUMBER(X104),X104,IF(ISNUMBER(H104),H104,B104)))</f>
        <v/>
      </c>
      <c r="AC104" s="42">
        <f>IF($A104="","",IF(W104="","Set a status",IF(W104="Approved",IF(Y104="","Approved: enter the date it was signed","Signed"),IF(OR(W104="Rejected",W104="Void"),W104,IF(AND(G104="Verbal",H104=""),"Verbal only: confirm it in writing today",IF(AND(ISNUMBER(AA104),W104="Pricing"),"Work started, not yet priced",IF(AND(ISNUMBER(AA104),W104="Submitted"),"Work started, not signed",IF(W104="Directive: price open","Going ahead under a directive: agree the price",IF(AND(ISNUMBER(AB104),AB104&gt;'Contract'!$B$15),"Chase: waiting "&amp;AB104&amp;" days",IF(W104="Pricing","Price it and send it","Waiting for signature"))))))))))</f>
        <v/>
      </c>
      <c r="AD104" s="38">
        <f>IF($A104="","",SUMIFS(U$6:U103,W$6:W103,"Approved"))</f>
        <v/>
      </c>
      <c r="AE104" s="41">
        <f>IF($A104="","",SUMIFS(V$6:V103,W$6:W103,"Approved"))</f>
        <v/>
      </c>
      <c r="AF104" s="36" t="n"/>
      <c r="AG104" s="36" t="n"/>
    </row>
    <row r="105">
      <c r="A105" s="34" t="n"/>
      <c r="B105" s="35" t="n"/>
      <c r="C105" s="36" t="n"/>
      <c r="D105" s="36" t="n"/>
      <c r="E105" s="34" t="n"/>
      <c r="F105" s="36" t="n"/>
      <c r="G105" s="34" t="n"/>
      <c r="H105" s="35" t="n"/>
      <c r="I105" s="34" t="n"/>
      <c r="J105" s="37" t="n"/>
      <c r="K105" s="37" t="n"/>
      <c r="L105" s="37" t="n"/>
      <c r="M105" s="37" t="n"/>
      <c r="N105" s="37" t="n"/>
      <c r="O105" s="38">
        <f>IF($A105="","",SUM(J105:N105))</f>
        <v/>
      </c>
      <c r="P105" s="38">
        <f>IF($A105="","",ROUND((N(J105)+N(K105)+N(L105)+N(N105))*'Contract'!$B$12,2))</f>
        <v/>
      </c>
      <c r="Q105" s="38">
        <f>IF($A105="","",ROUND(N(M105)*'Contract'!$B$13,2))</f>
        <v/>
      </c>
      <c r="R105" s="38">
        <f>IF($A105="","",ROUND((O105+P105+Q105)*'Contract'!$B$14,2))</f>
        <v/>
      </c>
      <c r="S105" s="38">
        <f>IF($A105="","",O105+P105+Q105+R105)</f>
        <v/>
      </c>
      <c r="T105" s="37" t="n"/>
      <c r="U105" s="39">
        <f>IF($A105="","",IF(ISNUMBER(T105),T105,S105))</f>
        <v/>
      </c>
      <c r="V105" s="40" t="n"/>
      <c r="W105" s="34" t="n"/>
      <c r="X105" s="35" t="n"/>
      <c r="Y105" s="35" t="n"/>
      <c r="Z105" s="34" t="n"/>
      <c r="AA105" s="35" t="n"/>
      <c r="AB105" s="41">
        <f>IF(OR($A105="",AND(W105&lt;&gt;"Submitted",W105&lt;&gt;"Directive: price open",W105&lt;&gt;"Pricing")),"",'Contract'!$B$16-IF(ISNUMBER(X105),X105,IF(ISNUMBER(H105),H105,B105)))</f>
        <v/>
      </c>
      <c r="AC105" s="42">
        <f>IF($A105="","",IF(W105="","Set a status",IF(W105="Approved",IF(Y105="","Approved: enter the date it was signed","Signed"),IF(OR(W105="Rejected",W105="Void"),W105,IF(AND(G105="Verbal",H105=""),"Verbal only: confirm it in writing today",IF(AND(ISNUMBER(AA105),W105="Pricing"),"Work started, not yet priced",IF(AND(ISNUMBER(AA105),W105="Submitted"),"Work started, not signed",IF(W105="Directive: price open","Going ahead under a directive: agree the price",IF(AND(ISNUMBER(AB105),AB105&gt;'Contract'!$B$15),"Chase: waiting "&amp;AB105&amp;" days",IF(W105="Pricing","Price it and send it","Waiting for signature"))))))))))</f>
        <v/>
      </c>
      <c r="AD105" s="38">
        <f>IF($A105="","",SUMIFS(U$6:U104,W$6:W104,"Approved"))</f>
        <v/>
      </c>
      <c r="AE105" s="41">
        <f>IF($A105="","",SUMIFS(V$6:V104,W$6:W104,"Approved"))</f>
        <v/>
      </c>
      <c r="AF105" s="36" t="n"/>
      <c r="AG105" s="36" t="n"/>
    </row>
  </sheetData>
  <autoFilter ref="A5:AG105"/>
  <mergeCells count="8">
    <mergeCell ref="J4:N4"/>
    <mergeCell ref="AF4:AG4"/>
    <mergeCell ref="A1:AG1"/>
    <mergeCell ref="O4:U4"/>
    <mergeCell ref="AB4:AE4"/>
    <mergeCell ref="V4:AA4"/>
    <mergeCell ref="A4:I4"/>
    <mergeCell ref="A2:P2"/>
  </mergeCells>
  <conditionalFormatting sqref="AC6:AC105">
    <cfRule type="expression" priority="1" dxfId="1">
      <formula>LEFT($AC6,6)="Signed"</formula>
    </cfRule>
    <cfRule type="expression" priority="2" dxfId="2">
      <formula>LEFT($AC6,12)="Work started"</formula>
    </cfRule>
    <cfRule type="expression" priority="3" dxfId="2">
      <formula>LEFT($AC6,11)="Verbal only"</formula>
    </cfRule>
    <cfRule type="expression" priority="4" dxfId="3">
      <formula>LEFT($AC6,11)="Going ahead"</formula>
    </cfRule>
    <cfRule type="expression" priority="5" dxfId="4">
      <formula>LEFT($AC6,5)="Chase"</formula>
    </cfRule>
  </conditionalFormatting>
  <conditionalFormatting sqref="W6:W105">
    <cfRule type="expression" priority="6" dxfId="1">
      <formula>$W6="Approved"</formula>
    </cfRule>
    <cfRule type="expression" priority="7" dxfId="5">
      <formula>$W6="Rejected"</formula>
    </cfRule>
    <cfRule type="expression" priority="8" dxfId="5">
      <formula>$W6="Void"</formula>
    </cfRule>
    <cfRule type="expression" priority="9" dxfId="3">
      <formula>$W6="Directive: price open"</formula>
    </cfRule>
    <cfRule type="expression" priority="10" dxfId="6">
      <formula>$W6="Submitted"</formula>
    </cfRule>
    <cfRule type="expression" priority="11" dxfId="6">
      <formula>$W6="Pricing"</formula>
    </cfRule>
  </conditionalFormatting>
  <dataValidations count="4">
    <dataValidation sqref="E6:E105" showDropDown="0" showInputMessage="0" showErrorMessage="0" allowBlank="1" type="list">
      <formula1>"Owner request,Design change,Unforeseen condition,Code or inspector,Error or omission,Credit,Other"</formula1>
    </dataValidation>
    <dataValidation sqref="G6:G105" showDropDown="0" showInputMessage="0" showErrorMessage="0" allowBlank="1" type="list">
      <formula1>"Written request,Signed directive,Verbal,Not yet directed"</formula1>
    </dataValidation>
    <dataValidation sqref="I6:I105" showDropDown="0" showInputMessage="0" showErrorMessage="0" allowBlank="1" type="list">
      <formula1>"Lump sum,Unit price,Cost plus fee,Time and materials"</formula1>
    </dataValidation>
    <dataValidation sqref="W6:W105" showDropDown="0" showInputMessage="0" showErrorMessage="0" allowBlank="1" errorTitle="Status" error="Pricing, Submitted, Directive: price open, Approved, Rejected or Void." type="list">
      <formula1>"Pricing,Submitted,Directive: price open,Approved,Rejected,Void"</formula1>
    </dataValidation>
  </dataValidations>
  <pageMargins left="0.75" right="0.75" top="1" bottom="1" header="0.5" footer="0.5"/>
  <pageSetup orientation="landscape" fitToHeight="0" fitToWidth="1"/>
  <headerFooter>
    <oddHeader/>
    <oddFooter>&amp;L&amp;8 Free change order template from WorkHoist · workhoist.app/guides/construction-change-order-template&amp;R&amp;8 Page &amp;P of &amp;N</oddFooter>
    <evenHeader/>
    <evenFooter/>
    <firstHeader/>
    <firstFooter/>
  </headerFooter>
</worksheet>
</file>

<file path=xl/worksheets/sheet5.xml><?xml version="1.0" encoding="utf-8"?>
<worksheet xmlns="http://schemas.openxmlformats.org/spreadsheetml/2006/main">
  <sheetPr>
    <tabColor rgb="00FF6A13"/>
    <outlinePr summaryBelow="1" summaryRight="1"/>
    <pageSetUpPr fitToPage="1"/>
  </sheetPr>
  <dimension ref="A1:F53"/>
  <sheetViews>
    <sheetView showGridLines="0" zoomScale="100" workbookViewId="0">
      <selection activeCell="A1" sqref="A1"/>
    </sheetView>
  </sheetViews>
  <sheetFormatPr baseColWidth="8" defaultRowHeight="15"/>
  <cols>
    <col width="3" customWidth="1" min="1" max="1"/>
    <col width="34" customWidth="1" min="2" max="2"/>
    <col width="26" customWidth="1" min="3" max="3"/>
    <col width="4" customWidth="1" min="4" max="4"/>
    <col width="30" customWidth="1" min="5" max="5"/>
    <col width="22" customWidth="1" min="6" max="6"/>
  </cols>
  <sheetData>
    <row r="1" ht="30" customHeight="1">
      <c r="A1" s="1" t="inlineStr">
        <is>
          <r>
            <rPr>
              <rFont val="Arial"/>
              <b val="1"/>
              <color rgb="00FF6A13"/>
              <sz val="12"/>
            </rPr>
            <t xml:space="preserve">  WORKHOIST</t>
          </r>
          <r>
            <rPr>
              <rFont val="Arial"/>
              <color rgb="00FFFFFF"/>
              <sz val="12"/>
            </rPr>
            <t xml:space="preserve">   Change Order Template  ·  Change Order</t>
          </r>
        </is>
      </c>
    </row>
    <row r="3">
      <c r="B3" s="43" t="inlineStr">
        <is>
          <t>Change order number</t>
        </is>
      </c>
      <c r="E3" s="44">
        <f>IF(ISNA(MATCH($C$4,'Change Log'!$A$6:$A$105,0)),"That number is not on the Change Log","")</f>
        <v/>
      </c>
    </row>
    <row r="4">
      <c r="B4" s="45" t="inlineStr">
        <is>
          <t>Type the CO # from the Change Log →</t>
        </is>
      </c>
      <c r="C4" s="46" t="inlineStr">
        <is>
          <t>CO-003</t>
        </is>
      </c>
    </row>
    <row r="6">
      <c r="B6" s="47">
        <f>'Contract'!$B$5</f>
        <v/>
      </c>
      <c r="E6" s="48" t="inlineStr">
        <is>
          <t>CHANGE ORDER</t>
        </is>
      </c>
      <c r="F6" s="49">
        <f>$C$4</f>
        <v/>
      </c>
    </row>
    <row r="8" ht="28" customHeight="1">
      <c r="B8" s="50" t="inlineStr">
        <is>
          <t>Customer</t>
        </is>
      </c>
      <c r="C8" s="51">
        <f>'Contract'!$B$6</f>
        <v/>
      </c>
      <c r="E8" s="50" t="inlineStr">
        <is>
          <t>Date of this change order</t>
        </is>
      </c>
      <c r="F8" s="52">
        <f>IF(ISNUMBER(IFERROR(INDEX('Change Log'!$X$6:$X$105,MATCH($C$4,'Change Log'!$A$6:$A$105,0)),"")),IFERROR(INDEX('Change Log'!$X$6:$X$105,MATCH($C$4,'Change Log'!$A$6:$A$105,0)),""),'Contract'!$B$16)</f>
        <v/>
      </c>
    </row>
    <row r="9" ht="28" customHeight="1">
      <c r="B9" s="50" t="inlineStr">
        <is>
          <t>Job</t>
        </is>
      </c>
      <c r="C9" s="51">
        <f>'Contract'!$B$7</f>
        <v/>
      </c>
      <c r="E9" s="50" t="inlineStr">
        <is>
          <t>Contract date</t>
        </is>
      </c>
      <c r="F9" s="52">
        <f>'Contract'!$B$9</f>
        <v/>
      </c>
    </row>
    <row r="10" ht="28" customHeight="1">
      <c r="B10" s="50" t="inlineStr">
        <is>
          <t>Job address</t>
        </is>
      </c>
      <c r="C10" s="51">
        <f>'Contract'!$B$8</f>
        <v/>
      </c>
      <c r="E10" s="50" t="inlineStr">
        <is>
          <t>Change raised on</t>
        </is>
      </c>
      <c r="F10" s="52">
        <f>IFERROR(INDEX('Change Log'!$B$6:$B$105,MATCH($C$4,'Change Log'!$A$6:$A$105,0)),"")</f>
        <v/>
      </c>
    </row>
    <row r="12" ht="20" customHeight="1">
      <c r="B12" s="53" t="inlineStr">
        <is>
          <t>1.  The change</t>
        </is>
      </c>
      <c r="C12" s="9" t="n"/>
      <c r="D12" s="9" t="n"/>
      <c r="E12" s="9" t="n"/>
      <c r="F12" s="9" t="n"/>
    </row>
    <row r="13">
      <c r="B13" s="50" t="inlineStr">
        <is>
          <t>Title</t>
        </is>
      </c>
      <c r="C13" s="54">
        <f>IFERROR(INDEX('Change Log'!$C$6:$C$105,MATCH($C$4,'Change Log'!$A$6:$A$105,0)),"")</f>
        <v/>
      </c>
    </row>
    <row r="14" ht="58" customHeight="1">
      <c r="B14" s="50" t="inlineStr">
        <is>
          <t>Description</t>
        </is>
      </c>
      <c r="C14" s="51">
        <f>IFERROR(INDEX('Change Log'!$D$6:$D$105,MATCH($C$4,'Change Log'!$A$6:$A$105,0)),"")</f>
        <v/>
      </c>
    </row>
    <row r="15">
      <c r="B15" s="50" t="inlineStr">
        <is>
          <t>Reason</t>
        </is>
      </c>
      <c r="C15" s="55">
        <f>IFERROR(INDEX('Change Log'!$E$6:$E$105,MATCH($C$4,'Change Log'!$A$6:$A$105,0)),"")</f>
        <v/>
      </c>
      <c r="E15" s="50" t="inlineStr">
        <is>
          <t>Pricing method</t>
        </is>
      </c>
      <c r="F15" s="55">
        <f>IFERROR(INDEX('Change Log'!$I$6:$I$105,MATCH($C$4,'Change Log'!$A$6:$A$105,0)),"")</f>
        <v/>
      </c>
    </row>
    <row r="16" ht="30" customHeight="1">
      <c r="B16" s="50" t="inlineStr">
        <is>
          <t>Requested or directed by</t>
        </is>
      </c>
      <c r="C16" s="51">
        <f>IFERROR(INDEX('Change Log'!$F$6:$F$105,MATCH($C$4,'Change Log'!$A$6:$A$105,0)),"")</f>
        <v/>
      </c>
      <c r="E16" s="50" t="inlineStr">
        <is>
          <t>Backup</t>
        </is>
      </c>
      <c r="F16" s="51">
        <f>IFERROR(INDEX('Change Log'!$AF$6:$AF$105,MATCH($C$4,'Change Log'!$A$6:$A$105,0)),"")</f>
        <v/>
      </c>
    </row>
    <row r="18" ht="20" customHeight="1">
      <c r="B18" s="53" t="inlineStr">
        <is>
          <t>2.  Price</t>
        </is>
      </c>
      <c r="C18" s="9" t="n"/>
      <c r="D18" s="9" t="n"/>
      <c r="E18" s="9" t="n"/>
      <c r="F18" s="9" t="n"/>
    </row>
    <row r="19">
      <c r="B19" s="50" t="inlineStr">
        <is>
          <t>Labor</t>
        </is>
      </c>
      <c r="C19" s="56">
        <f>N(IFERROR(INDEX('Change Log'!$J$6:$J$105,MATCH($C$4,'Change Log'!$A$6:$A$105,0)),""))</f>
        <v/>
      </c>
      <c r="E19" s="57">
        <f>IF(ISNUMBER(IFERROR(INDEX('Change Log'!$T$6:$T$105,MATCH($C$4,'Change Log'!$A$6:$A$105,0)),"")),"The agreed price differs from the calculated price ("&amp;TEXT(N(IFERROR(INDEX('Change Log'!$S$6:$S$105,MATCH($C$4,'Change Log'!$A$6:$A$105,0)),"")),"$#,##0.00")&amp;"). The agreed price is used.","")</f>
        <v/>
      </c>
    </row>
    <row r="20">
      <c r="B20" s="50" t="inlineStr">
        <is>
          <t>Material</t>
        </is>
      </c>
      <c r="C20" s="56">
        <f>N(IFERROR(INDEX('Change Log'!$K$6:$K$105,MATCH($C$4,'Change Log'!$A$6:$A$105,0)),""))</f>
        <v/>
      </c>
    </row>
    <row r="21">
      <c r="B21" s="50" t="inlineStr">
        <is>
          <t>Equipment</t>
        </is>
      </c>
      <c r="C21" s="56">
        <f>N(IFERROR(INDEX('Change Log'!$L$6:$L$105,MATCH($C$4,'Change Log'!$A$6:$A$105,0)),""))</f>
        <v/>
      </c>
    </row>
    <row r="22">
      <c r="B22" s="50" t="inlineStr">
        <is>
          <t>Subcontractors</t>
        </is>
      </c>
      <c r="C22" s="56">
        <f>N(IFERROR(INDEX('Change Log'!$M$6:$M$105,MATCH($C$4,'Change Log'!$A$6:$A$105,0)),""))</f>
        <v/>
      </c>
    </row>
    <row r="23">
      <c r="B23" s="50" t="inlineStr">
        <is>
          <t>Other</t>
        </is>
      </c>
      <c r="C23" s="56">
        <f>N(IFERROR(INDEX('Change Log'!$N$6:$N$105,MATCH($C$4,'Change Log'!$A$6:$A$105,0)),""))</f>
        <v/>
      </c>
    </row>
    <row r="24">
      <c r="B24" s="58" t="inlineStr">
        <is>
          <t>Direct cost</t>
        </is>
      </c>
      <c r="C24" s="59">
        <f>SUM(C19:C23)</f>
        <v/>
      </c>
    </row>
    <row r="25">
      <c r="B25" s="50" t="inlineStr">
        <is>
          <t>Overhead and profit on own work</t>
        </is>
      </c>
      <c r="C25" s="56">
        <f>N(IFERROR(INDEX('Change Log'!$P$6:$P$105,MATCH($C$4,'Change Log'!$A$6:$A$105,0)),""))</f>
        <v/>
      </c>
    </row>
    <row r="26">
      <c r="B26" s="50" t="inlineStr">
        <is>
          <t>Markup on subcontractor work</t>
        </is>
      </c>
      <c r="C26" s="56">
        <f>N(IFERROR(INDEX('Change Log'!$Q$6:$Q$105,MATCH($C$4,'Change Log'!$A$6:$A$105,0)),""))</f>
        <v/>
      </c>
    </row>
    <row r="27">
      <c r="B27" s="50" t="inlineStr">
        <is>
          <t>Bond and insurance</t>
        </is>
      </c>
      <c r="C27" s="56">
        <f>N(IFERROR(INDEX('Change Log'!$R$6:$R$105,MATCH($C$4,'Change Log'!$A$6:$A$105,0)),""))</f>
        <v/>
      </c>
    </row>
    <row r="28">
      <c r="B28" s="60" t="inlineStr">
        <is>
          <t>Price of this change</t>
        </is>
      </c>
      <c r="C28" s="61">
        <f>N(IFERROR(INDEX('Change Log'!$U$6:$U$105,MATCH($C$4,'Change Log'!$A$6:$A$105,0)),""))</f>
        <v/>
      </c>
    </row>
    <row r="30" ht="20" customHeight="1">
      <c r="B30" s="53" t="inlineStr">
        <is>
          <t>3.  Contract sum</t>
        </is>
      </c>
      <c r="C30" s="9" t="n"/>
      <c r="D30" s="9" t="n"/>
      <c r="E30" s="9" t="n"/>
      <c r="F30" s="9" t="n"/>
    </row>
    <row r="31">
      <c r="B31" s="50" t="inlineStr">
        <is>
          <t>Original contract sum</t>
        </is>
      </c>
      <c r="C31" s="56">
        <f>'Contract'!$B$10</f>
        <v/>
      </c>
    </row>
    <row r="32" ht="28" customHeight="1">
      <c r="B32" s="50" t="inlineStr">
        <is>
          <t>Net change by change orders approved before this one</t>
        </is>
      </c>
      <c r="C32" s="56">
        <f>N(IFERROR(INDEX('Change Log'!$AD$6:$AD$105,MATCH($C$4,'Change Log'!$A$6:$A$105,0)),""))</f>
        <v/>
      </c>
    </row>
    <row r="33">
      <c r="B33" s="50" t="inlineStr">
        <is>
          <t>Contract sum before this change order</t>
        </is>
      </c>
      <c r="C33" s="56">
        <f>C31+C32</f>
        <v/>
      </c>
    </row>
    <row r="34">
      <c r="B34" s="50" t="inlineStr">
        <is>
          <t>This change order: increase or (decrease)</t>
        </is>
      </c>
      <c r="C34" s="56">
        <f>C28</f>
        <v/>
      </c>
    </row>
    <row r="35" ht="28" customHeight="1">
      <c r="B35" s="60" t="inlineStr">
        <is>
          <t>New contract sum including this change order</t>
        </is>
      </c>
      <c r="C35" s="61">
        <f>C33+C34</f>
        <v/>
      </c>
    </row>
    <row r="37" ht="20" customHeight="1">
      <c r="B37" s="53" t="inlineStr">
        <is>
          <t>4.  Contract time</t>
        </is>
      </c>
      <c r="C37" s="9" t="n"/>
      <c r="D37" s="9" t="n"/>
      <c r="E37" s="9" t="n"/>
      <c r="F37" s="9" t="n"/>
    </row>
    <row r="38">
      <c r="B38" s="50" t="inlineStr">
        <is>
          <t>Original completion date</t>
        </is>
      </c>
      <c r="C38" s="52">
        <f>'Contract'!$B$11</f>
        <v/>
      </c>
    </row>
    <row r="39" ht="28" customHeight="1">
      <c r="B39" s="50" t="inlineStr">
        <is>
          <t>Days added by change orders approved before this one</t>
        </is>
      </c>
      <c r="C39" s="62">
        <f>N(IFERROR(INDEX('Change Log'!$AE$6:$AE$105,MATCH($C$4,'Change Log'!$A$6:$A$105,0)),""))</f>
        <v/>
      </c>
    </row>
    <row r="40" ht="28" customHeight="1">
      <c r="B40" s="50" t="inlineStr">
        <is>
          <t>Days this change order adds (+) or saves (−)</t>
        </is>
      </c>
      <c r="C40" s="62">
        <f>N(IFERROR(INDEX('Change Log'!$V$6:$V$105,MATCH($C$4,'Change Log'!$A$6:$A$105,0)),""))</f>
        <v/>
      </c>
    </row>
    <row r="41">
      <c r="B41" s="58" t="inlineStr">
        <is>
          <t>New completion date</t>
        </is>
      </c>
      <c r="C41" s="63">
        <f>C38+C39+C40</f>
        <v/>
      </c>
    </row>
    <row r="43" ht="20" customHeight="1">
      <c r="B43" s="53" t="inlineStr">
        <is>
          <t>5.  Agreement</t>
        </is>
      </c>
      <c r="C43" s="9" t="n"/>
      <c r="D43" s="9" t="n"/>
      <c r="E43" s="9" t="n"/>
      <c r="F43" s="9" t="n"/>
    </row>
    <row r="44" ht="30" customHeight="1">
      <c r="B44" s="4" t="inlineStr">
        <is>
          <t>By signing, both parties agree to the change described above, its price and its effect on the contract sum and completion date. All other terms of the contract stay the same.</t>
        </is>
      </c>
    </row>
    <row r="46">
      <c r="B46" s="43" t="inlineStr">
        <is>
          <t>Contractor</t>
        </is>
      </c>
      <c r="E46" s="43" t="inlineStr">
        <is>
          <t>Customer</t>
        </is>
      </c>
    </row>
    <row r="48" ht="26" customHeight="1">
      <c r="B48" s="64" t="n"/>
      <c r="C48" s="64" t="n"/>
      <c r="E48" s="64" t="n"/>
      <c r="F48" s="64" t="n"/>
    </row>
    <row r="49">
      <c r="B49" s="65" t="inlineStr">
        <is>
          <t>Signature</t>
        </is>
      </c>
      <c r="E49" s="65" t="inlineStr">
        <is>
          <t>Signature</t>
        </is>
      </c>
    </row>
    <row r="50" ht="26" customHeight="1">
      <c r="B50" s="64" t="n"/>
      <c r="C50" s="64" t="n"/>
      <c r="E50" s="64" t="n"/>
      <c r="F50" s="64" t="n"/>
    </row>
    <row r="51">
      <c r="B51" s="65" t="inlineStr">
        <is>
          <t>Name and title</t>
        </is>
      </c>
      <c r="E51" s="65" t="inlineStr">
        <is>
          <t>Name and title</t>
        </is>
      </c>
    </row>
    <row r="52" ht="26" customHeight="1">
      <c r="B52" s="64" t="n"/>
      <c r="C52" s="64" t="n"/>
      <c r="E52" s="64" t="n"/>
      <c r="F52" s="64" t="n"/>
    </row>
    <row r="53">
      <c r="B53" s="65" t="inlineStr">
        <is>
          <t>Date</t>
        </is>
      </c>
      <c r="E53" s="65" t="inlineStr">
        <is>
          <t>Date</t>
        </is>
      </c>
    </row>
  </sheetData>
  <mergeCells count="10">
    <mergeCell ref="C13:F13"/>
    <mergeCell ref="B44:F44"/>
    <mergeCell ref="E19:F21"/>
    <mergeCell ref="C10:D10"/>
    <mergeCell ref="C16:D16"/>
    <mergeCell ref="C15:D15"/>
    <mergeCell ref="C14:F14"/>
    <mergeCell ref="A1:F1"/>
    <mergeCell ref="C9:D9"/>
    <mergeCell ref="C8:D8"/>
  </mergeCells>
  <dataValidations count="1">
    <dataValidation sqref="C4" showDropDown="0" showInputMessage="0" showErrorMessage="0" allowBlank="0" errorTitle="Not on the Change Log" error="Pick a change order number that is on the Change Log." type="list">
      <formula1>='Change Log'!$A$6:$A$105</formula1>
    </dataValidation>
  </dataValidations>
  <pageMargins left="0.75" right="0.75" top="1" bottom="1" header="0.5" footer="0.5"/>
  <pageSetup orientation="portrait" fitToHeight="1" fitToWidth="1"/>
</worksheet>
</file>

<file path=xl/worksheets/sheet6.xml><?xml version="1.0" encoding="utf-8"?>
<worksheet xmlns="http://schemas.openxmlformats.org/spreadsheetml/2006/main">
  <sheetPr>
    <tabColor rgb="000E1822"/>
    <outlinePr summaryBelow="1" summaryRight="1"/>
    <pageSetUpPr fitToPage="1"/>
  </sheetPr>
  <dimension ref="A1:C16"/>
  <sheetViews>
    <sheetView showGridLines="0" zoomScale="100" workbookViewId="0">
      <selection activeCell="A1" sqref="A1"/>
    </sheetView>
  </sheetViews>
  <sheetFormatPr baseColWidth="8" defaultRowHeight="15"/>
  <cols>
    <col width="40" customWidth="1" min="1" max="1"/>
    <col width="62" customWidth="1" min="2" max="2"/>
    <col width="66" customWidth="1" min="3" max="3"/>
  </cols>
  <sheetData>
    <row r="1" ht="30" customHeight="1">
      <c r="A1" s="1" t="inlineStr">
        <is>
          <r>
            <rPr>
              <rFont val="Arial"/>
              <b val="1"/>
              <color rgb="00FF6A13"/>
              <sz val="12"/>
            </rPr>
            <t xml:space="preserve">  WORKHOIST</t>
          </r>
          <r>
            <rPr>
              <rFont val="Arial"/>
              <color rgb="00FFFFFF"/>
              <sz val="12"/>
            </rPr>
            <t xml:space="preserve">   Change Order Template  ·  Checklist</t>
          </r>
        </is>
      </c>
    </row>
    <row r="2" ht="30" customHeight="1">
      <c r="A2" s="22" t="inlineStr">
        <is>
          <t>What every change order needs before you send it, and before work starts. Not legal advice: your contract and your state decide the real list.</t>
        </is>
      </c>
    </row>
    <row r="4" ht="22" customHeight="1">
      <c r="A4" s="23" t="inlineStr">
        <is>
          <t>Check</t>
        </is>
      </c>
      <c r="B4" s="23" t="inlineStr">
        <is>
          <t>What right looks like</t>
        </is>
      </c>
      <c r="C4" s="23" t="inlineStr">
        <is>
          <t>Why it matters</t>
        </is>
      </c>
    </row>
    <row r="5" ht="48" customHeight="1">
      <c r="A5" s="66" t="inlineStr">
        <is>
          <t>The scope is specific</t>
        </is>
      </c>
      <c r="B5" s="67" t="inlineStr">
        <is>
          <t>What, where and how much, with the drawing, sketch, RFI or bulletin it comes from. Someone who was not there could price it from what you wrote.</t>
        </is>
      </c>
      <c r="C5" s="67" t="inlineStr">
        <is>
          <t>In California, a home improvement change order is not enforceable against the buyer unless it sets out the scope of work (Business and Professions Code 7159.6).</t>
        </is>
      </c>
    </row>
    <row r="6" ht="48" customHeight="1">
      <c r="A6" s="66" t="inlineStr">
        <is>
          <t>The price is broken down</t>
        </is>
      </c>
      <c r="B6" s="67" t="inlineStr">
        <is>
          <t>Labor, material, equipment, subcontractors and other costs, then the markups your contract allows, with quotes and tickets behind them.</t>
        </is>
      </c>
      <c r="C6" s="67" t="inlineStr">
        <is>
          <t>Showing the build-up gives the other side something to check rather than something to argue with.</t>
        </is>
      </c>
    </row>
    <row r="7" ht="48" customHeight="1">
      <c r="A7" s="66" t="inlineStr">
        <is>
          <t>The pricing method is stated</t>
        </is>
      </c>
      <c r="B7" s="67" t="inlineStr">
        <is>
          <t>Lump sum, unit price, cost plus a fee, or time and materials.</t>
        </is>
      </c>
      <c r="C7" s="67" t="inlineStr">
        <is>
          <t>AIA’s change directive form lists the same choices: lump sum when both sides can agree the total, unit price when the rate is agreed but the quantity is not, cost plus a fee otherwise.</t>
        </is>
      </c>
    </row>
    <row r="8" ht="62" customHeight="1">
      <c r="A8" s="66" t="inlineStr">
        <is>
          <t>The time is stated, even if it is zero</t>
        </is>
      </c>
      <c r="B8" s="67" t="inlineStr">
        <is>
          <t>Days added or saved, and the new completion date.</t>
        </is>
      </c>
      <c r="C8" s="67" t="inlineStr">
        <is>
          <t>AIA’s change order form has its own lines for the change in contract time and the new completion date. California requires a home improvement change order to state its effect on progress payments or the completion date.</t>
        </is>
      </c>
    </row>
    <row r="9" ht="34" customHeight="1">
      <c r="A9" s="66" t="inlineStr">
        <is>
          <t>The contract sum before and after is shown</t>
        </is>
      </c>
      <c r="B9" s="67" t="inlineStr">
        <is>
          <t>Original sum, approved changes so far, this change, and the new sum.</t>
        </is>
      </c>
      <c r="C9" s="67" t="inlineStr">
        <is>
          <t>Both sides can check the running total on every page instead of reconstructing it at closeout.</t>
        </is>
      </c>
    </row>
    <row r="10" ht="34" customHeight="1">
      <c r="A10" s="66" t="inlineStr">
        <is>
          <t>The right person signs</t>
        </is>
      </c>
      <c r="B10" s="67" t="inlineStr">
        <is>
          <t>The person your contract says can approve changes.</t>
        </is>
      </c>
      <c r="C10" s="67" t="inlineStr">
        <is>
          <t>If someone else gave the direction on site, get the change signed by the person who can approve it.</t>
        </is>
      </c>
    </row>
    <row r="11" ht="76" customHeight="1">
      <c r="A11" s="66" t="inlineStr">
        <is>
          <t>It is signed before the work starts</t>
        </is>
      </c>
      <c r="B11" s="67" t="inlineStr">
        <is>
          <t>Signed by your customer before you mobilize for the change.</t>
        </is>
      </c>
      <c r="C11" s="67" t="inlineStr">
        <is>
          <t>In California, the buyer may not require a contractor to do change-order work without written authorization (7159.6). In Texas, once unsigned owner-directed extra work passes 10% of your original contract, you may elect not to proceed (Property Code 28.0091).</t>
        </is>
      </c>
    </row>
    <row r="12" ht="48" customHeight="1">
      <c r="A12" s="66" t="inlineStr">
        <is>
          <t>If work must start first, the direction is confirmed in writing that day</t>
        </is>
      </c>
      <c r="B12" s="67" t="inlineStr">
        <is>
          <t>An email or letter back to whoever gave the direction: what, where, when, by whom, and that you will price it.</t>
        </is>
      </c>
      <c r="C12" s="67" t="inlineStr">
        <is>
          <t>On federal jobs, an oral order counts as a change only if you give written notice, and costs incurred more than 20 days before that notice are not recoverable (FAR 52.243-4).</t>
        </is>
      </c>
    </row>
    <row r="13" ht="62" customHeight="1">
      <c r="A13" s="66" t="inlineStr">
        <is>
          <t>You know your notice deadline</t>
        </is>
      </c>
      <c r="B13" s="67" t="inlineStr">
        <is>
          <t>The number of days your change clause gives you to give notice and submit a price, diarised for every change.</t>
        </is>
      </c>
      <c r="C13" s="67" t="inlineStr">
        <is>
          <t>Federal construction contracts give 30 days from a written change order to assert the right to an adjustment, and nothing after final payment (FAR 52.243-4). Private contracts set their own deadlines.</t>
        </is>
      </c>
    </row>
    <row r="14" ht="34" customHeight="1">
      <c r="A14" s="66" t="inlineStr">
        <is>
          <t>Credits are priced the same way</t>
        </is>
      </c>
      <c r="B14" s="67" t="inlineStr">
        <is>
          <t>Deleted work entered as negative costs, and the contract’s rule on markup for credits applied.</t>
        </is>
      </c>
      <c r="C14" s="67" t="inlineStr">
        <is>
          <t>Agree before the first credit whether markup comes back on deleted work, so the credit is not a second negotiation.</t>
        </is>
      </c>
    </row>
    <row r="15" ht="62" customHeight="1">
      <c r="A15" s="66" t="inlineStr">
        <is>
          <t>Electronic signatures are fine unless your contract says otherwise</t>
        </is>
      </c>
      <c r="B15" s="67" t="inlineStr">
        <is>
          <t>A signed PDF or an e-signature, kept with the job.</t>
        </is>
      </c>
      <c r="C15" s="67" t="inlineStr">
        <is>
          <t>Under the federal E-SIGN Act, a contract cannot be denied effect solely because an electronic signature was used to form it (15 U.S.C. 7001). Your contract may still require a particular form.</t>
        </is>
      </c>
    </row>
    <row r="16" ht="62" customHeight="1">
      <c r="A16" s="66" t="inlineStr">
        <is>
          <t>Approved changes go on the next pay application</t>
        </is>
      </c>
      <c r="B16" s="67" t="inlineStr">
        <is>
          <t>Each approved change order as its own line, billed as the work is done.</t>
        </is>
      </c>
      <c r="C16" s="67" t="inlineStr">
        <is>
          <t>Approved changes you have not billed are cash you are lending the job. AIA’s instructions for its change directive say amounts not in dispute may be included in applications for payment before the price is final.</t>
        </is>
      </c>
    </row>
  </sheetData>
  <mergeCells count="2">
    <mergeCell ref="A1:C1"/>
    <mergeCell ref="A2:C2"/>
  </mergeCells>
  <pageMargins left="0.75" right="0.75" top="1" bottom="1" header="0.5" footer="0.5"/>
  <pageSetup orientation="landscape" fitToHeight="0" fitToWidth="1"/>
  <headerFooter>
    <oddHeader/>
    <oddFooter>&amp;L&amp;8 Free change order template from WorkHoist · workhoist.app/guides/construction-change-order-template&amp;R&amp;8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WorkHoist</dc:creator>
  <dc:title xmlns:dc="http://purl.org/dc/elements/1.1/">Change Order Template and Log — free from WorkHoist</dc:title>
  <dc:description xmlns:dc="http://purl.org/dc/elements/1.1/">Free from WorkHoist: workhoist.app/guides/construction-change-order-template</dc:description>
  <dc:subject xmlns:dc="http://purl.org/dc/elements/1.1/">Price, sign and track construction change orders</dc:subject>
  <dcterms:created xmlns:dcterms="http://purl.org/dc/terms/" xmlns:xsi="http://www.w3.org/2001/XMLSchema-instance" xsi:type="dcterms:W3CDTF">2026-10-11T13:56:38Z</dcterms:created>
  <dcterms:modified xmlns:dcterms="http://purl.org/dc/terms/" xmlns:xsi="http://www.w3.org/2001/XMLSchema-instance" xsi:type="dcterms:W3CDTF">2026-10-11T13:56:38Z</dcterms:modified>
  <cp:keywords>change order template, change order form, change order log, construction, WorkHoist</cp:keywords>
</cp:coreProperties>
</file>